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8830" windowHeight="12675"/>
  </bookViews>
  <sheets>
    <sheet name="FEV 2018" sheetId="22" r:id="rId1"/>
  </sheets>
  <calcPr calcId="145621"/>
</workbook>
</file>

<file path=xl/calcChain.xml><?xml version="1.0" encoding="utf-8"?>
<calcChain xmlns="http://schemas.openxmlformats.org/spreadsheetml/2006/main">
  <c r="H9" i="22" l="1"/>
  <c r="C9" i="22"/>
  <c r="H8" i="22"/>
  <c r="C8" i="22"/>
  <c r="O59" i="22"/>
  <c r="O58" i="22"/>
  <c r="E58" i="22"/>
  <c r="O56" i="22"/>
  <c r="R55" i="22"/>
  <c r="M55" i="22"/>
  <c r="K55" i="22"/>
  <c r="J55" i="22"/>
  <c r="E55" i="22"/>
  <c r="D55" i="22"/>
  <c r="O54" i="22"/>
  <c r="C54" i="22"/>
  <c r="O53" i="22"/>
  <c r="H53" i="22"/>
  <c r="C53" i="22"/>
  <c r="H52" i="22"/>
  <c r="H51" i="22"/>
  <c r="J49" i="22"/>
  <c r="D49" i="22"/>
  <c r="C49" i="22"/>
  <c r="O48" i="22"/>
  <c r="L48" i="22"/>
  <c r="C48" i="22"/>
  <c r="M47" i="22"/>
  <c r="H47" i="22"/>
  <c r="C47" i="22"/>
  <c r="R46" i="22"/>
  <c r="K46" i="22"/>
  <c r="J46" i="22"/>
  <c r="H46" i="22"/>
  <c r="D46" i="22"/>
  <c r="C46" i="22"/>
  <c r="J45" i="22"/>
  <c r="D45" i="22"/>
  <c r="C45" i="22"/>
  <c r="O44" i="22"/>
  <c r="H44" i="22"/>
  <c r="C44" i="22"/>
  <c r="K43" i="22"/>
  <c r="J43" i="22"/>
  <c r="H43" i="22"/>
  <c r="D43" i="22"/>
  <c r="C43" i="22"/>
  <c r="O42" i="22"/>
  <c r="C42" i="22"/>
  <c r="E41" i="22"/>
  <c r="K41" i="22"/>
  <c r="J41" i="22"/>
  <c r="H41" i="22"/>
  <c r="D41" i="22"/>
  <c r="C41" i="22"/>
  <c r="M40" i="22"/>
  <c r="H40" i="22"/>
  <c r="O39" i="22" l="1"/>
  <c r="J39" i="22"/>
  <c r="D39" i="22"/>
  <c r="C39" i="22"/>
  <c r="H38" i="22"/>
  <c r="C38" i="22"/>
  <c r="R37" i="22"/>
  <c r="P37" i="22"/>
  <c r="O37" i="22"/>
  <c r="H37" i="22"/>
  <c r="C37" i="22"/>
  <c r="O36" i="22"/>
  <c r="H36" i="22"/>
  <c r="M35" i="22"/>
  <c r="H35" i="22"/>
  <c r="C35" i="22"/>
  <c r="O34" i="22"/>
  <c r="R34" i="22" s="1"/>
  <c r="C33" i="22"/>
  <c r="P32" i="22"/>
  <c r="O32" i="22"/>
  <c r="O31" i="22"/>
  <c r="K31" i="22"/>
  <c r="J31" i="22"/>
  <c r="H31" i="22"/>
  <c r="D31" i="22"/>
  <c r="C31" i="22"/>
  <c r="C30" i="22"/>
  <c r="C29" i="22"/>
  <c r="O28" i="22"/>
  <c r="H28" i="22"/>
  <c r="C28" i="22"/>
  <c r="H27" i="22"/>
  <c r="C27" i="22"/>
  <c r="P26" i="22"/>
  <c r="C26" i="22"/>
  <c r="O25" i="22"/>
  <c r="C25" i="22"/>
  <c r="D24" i="22"/>
  <c r="J24" i="22"/>
  <c r="C24" i="22"/>
  <c r="C23" i="22"/>
  <c r="O22" i="22"/>
  <c r="H22" i="22"/>
  <c r="C22" i="22"/>
  <c r="C20" i="22"/>
  <c r="O19" i="22"/>
  <c r="C19" i="22"/>
  <c r="O17" i="22"/>
  <c r="C17" i="22"/>
  <c r="O16" i="22"/>
  <c r="O15" i="22"/>
  <c r="H15" i="22"/>
  <c r="K14" i="22"/>
  <c r="J14" i="22"/>
  <c r="D14" i="22"/>
  <c r="C14" i="22"/>
  <c r="O13" i="22"/>
  <c r="K12" i="22" l="1"/>
  <c r="J12" i="22"/>
  <c r="D12" i="22"/>
  <c r="C12" i="22"/>
  <c r="C11" i="22"/>
  <c r="O10" i="22"/>
  <c r="C10" i="22"/>
  <c r="O7" i="22"/>
  <c r="M7" i="22"/>
  <c r="M8" i="22"/>
  <c r="M9" i="22"/>
  <c r="M10" i="22"/>
  <c r="M11" i="22"/>
  <c r="M12" i="22"/>
  <c r="M13" i="22"/>
  <c r="M14" i="22"/>
  <c r="M15" i="22"/>
  <c r="M16" i="22"/>
  <c r="M17" i="22"/>
  <c r="R17" i="22" s="1"/>
  <c r="M19" i="22"/>
  <c r="M20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6" i="22"/>
  <c r="M37" i="22"/>
  <c r="M38" i="22"/>
  <c r="M39" i="22"/>
  <c r="M41" i="22"/>
  <c r="M42" i="22"/>
  <c r="M43" i="22"/>
  <c r="M44" i="22"/>
  <c r="M45" i="22"/>
  <c r="M46" i="22"/>
  <c r="M48" i="22"/>
  <c r="M49" i="22"/>
  <c r="M51" i="22"/>
  <c r="M52" i="22"/>
  <c r="M53" i="22"/>
  <c r="M54" i="22"/>
  <c r="M56" i="22"/>
  <c r="M57" i="22"/>
  <c r="M58" i="22"/>
  <c r="M59" i="22"/>
  <c r="M6" i="22"/>
  <c r="C6" i="22" l="1"/>
  <c r="I7" i="22" l="1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Q60" i="22" l="1"/>
  <c r="P60" i="22"/>
  <c r="N60" i="22"/>
  <c r="M60" i="22"/>
  <c r="G60" i="22"/>
  <c r="E60" i="22"/>
  <c r="R59" i="22"/>
  <c r="S59" i="22" s="1"/>
  <c r="R58" i="22"/>
  <c r="S58" i="22" s="1"/>
  <c r="R57" i="22"/>
  <c r="S57" i="22" s="1"/>
  <c r="R56" i="22"/>
  <c r="S56" i="22" s="1"/>
  <c r="R54" i="22"/>
  <c r="S54" i="22" s="1"/>
  <c r="R53" i="22"/>
  <c r="S53" i="22" s="1"/>
  <c r="R52" i="22"/>
  <c r="S52" i="22" s="1"/>
  <c r="R51" i="22"/>
  <c r="S51" i="22" s="1"/>
  <c r="R50" i="22"/>
  <c r="S50" i="22" s="1"/>
  <c r="R49" i="22"/>
  <c r="S49" i="22" s="1"/>
  <c r="R48" i="22"/>
  <c r="S48" i="22" s="1"/>
  <c r="R47" i="22"/>
  <c r="S47" i="22" s="1"/>
  <c r="R45" i="22"/>
  <c r="S45" i="22" s="1"/>
  <c r="R44" i="22"/>
  <c r="R43" i="22"/>
  <c r="R42" i="22"/>
  <c r="R41" i="22"/>
  <c r="R40" i="22"/>
  <c r="S40" i="22" s="1"/>
  <c r="R39" i="22"/>
  <c r="S39" i="22" s="1"/>
  <c r="R38" i="22"/>
  <c r="S38" i="22" s="1"/>
  <c r="S37" i="22"/>
  <c r="R36" i="22"/>
  <c r="S36" i="22" s="1"/>
  <c r="R35" i="22"/>
  <c r="S35" i="22" s="1"/>
  <c r="S34" i="22"/>
  <c r="R33" i="22"/>
  <c r="S33" i="22" s="1"/>
  <c r="R32" i="22"/>
  <c r="S32" i="22" s="1"/>
  <c r="K60" i="22"/>
  <c r="R31" i="22"/>
  <c r="S31" i="22" s="1"/>
  <c r="R30" i="22"/>
  <c r="S30" i="22" s="1"/>
  <c r="R29" i="22"/>
  <c r="S29" i="22" s="1"/>
  <c r="R28" i="22"/>
  <c r="S28" i="22" s="1"/>
  <c r="R27" i="22"/>
  <c r="S27" i="22" s="1"/>
  <c r="R26" i="22"/>
  <c r="S26" i="22" s="1"/>
  <c r="R25" i="22"/>
  <c r="S25" i="22" s="1"/>
  <c r="R24" i="22"/>
  <c r="S24" i="22" s="1"/>
  <c r="R23" i="22"/>
  <c r="R22" i="22"/>
  <c r="S22" i="22" s="1"/>
  <c r="R21" i="22"/>
  <c r="S21" i="22" s="1"/>
  <c r="R20" i="22"/>
  <c r="R19" i="22"/>
  <c r="S19" i="22" s="1"/>
  <c r="R18" i="22"/>
  <c r="C60" i="22"/>
  <c r="S17" i="22"/>
  <c r="R16" i="22"/>
  <c r="S16" i="22" s="1"/>
  <c r="R15" i="22"/>
  <c r="S15" i="22" s="1"/>
  <c r="R14" i="22"/>
  <c r="S14" i="22" s="1"/>
  <c r="R13" i="22"/>
  <c r="S13" i="22" s="1"/>
  <c r="R12" i="22"/>
  <c r="R11" i="22"/>
  <c r="S11" i="22" s="1"/>
  <c r="O60" i="22"/>
  <c r="R9" i="22"/>
  <c r="S9" i="22" s="1"/>
  <c r="R8" i="22"/>
  <c r="S8" i="22" s="1"/>
  <c r="F60" i="22"/>
  <c r="R7" i="22"/>
  <c r="J60" i="22"/>
  <c r="H60" i="22"/>
  <c r="D60" i="22"/>
  <c r="S42" i="22" l="1"/>
  <c r="S44" i="22"/>
  <c r="S7" i="22"/>
  <c r="S12" i="22"/>
  <c r="S23" i="22"/>
  <c r="S20" i="22"/>
  <c r="S55" i="22"/>
  <c r="S41" i="22"/>
  <c r="S43" i="22"/>
  <c r="S46" i="22"/>
  <c r="I6" i="22"/>
  <c r="L60" i="22"/>
  <c r="R6" i="22"/>
  <c r="R10" i="22"/>
  <c r="S10" i="22" s="1"/>
  <c r="S18" i="22"/>
  <c r="R60" i="22" l="1"/>
  <c r="I60" i="22"/>
  <c r="S6" i="22"/>
  <c r="S60" i="22" s="1"/>
</calcChain>
</file>

<file path=xl/sharedStrings.xml><?xml version="1.0" encoding="utf-8"?>
<sst xmlns="http://schemas.openxmlformats.org/spreadsheetml/2006/main" count="129" uniqueCount="99">
  <si>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</si>
  <si>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</si>
  <si>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</si>
  <si>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</si>
  <si>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</si>
  <si>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</si>
  <si>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</si>
  <si>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</si>
  <si>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</si>
  <si>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</si>
  <si>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</si>
  <si>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</si>
  <si>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</si>
  <si>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</si>
  <si>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</si>
  <si>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</si>
  <si>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</si>
  <si>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</si>
  <si>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</si>
  <si>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</si>
  <si>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</si>
  <si>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</si>
  <si>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</si>
  <si>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</si>
  <si>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</si>
  <si>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</si>
  <si>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</si>
  <si>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</si>
  <si>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</si>
  <si>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</si>
  <si>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</si>
  <si>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</si>
  <si>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</si>
  <si>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</si>
  <si>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</si>
  <si>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</si>
  <si>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</si>
  <si>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</si>
  <si>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</si>
  <si>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</si>
  <si>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</si>
  <si>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</si>
  <si>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</si>
  <si>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</si>
  <si>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</si>
  <si>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</si>
  <si>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</si>
  <si>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</si>
  <si>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</si>
  <si>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</si>
  <si>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</si>
  <si>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</si>
  <si>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</si>
  <si>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</si>
  <si>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</si>
  <si>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</si>
  <si>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</si>
  <si>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</si>
  <si>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</si>
  <si>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</si>
  <si>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</si>
  <si>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</si>
  <si>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</si>
  <si>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</si>
  <si>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</si>
  <si>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</si>
  <si>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</si>
  <si>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</si>
  <si>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</si>
  <si>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</si>
  <si>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</si>
  <si>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</si>
  <si>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</si>
  <si>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</si>
  <si>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</si>
  <si>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</si>
  <si>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</si>
  <si>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</si>
  <si>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</si>
  <si>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</si>
  <si>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</si>
  <si>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</si>
  <si>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</si>
  <si>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</si>
  <si>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</si>
  <si>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</si>
  <si>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</si>
  <si>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</si>
  <si>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</si>
  <si>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</si>
  <si>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</si>
  <si>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</si>
  <si>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</si>
  <si>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</si>
  <si>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Sandra Maria de Freitas Carvalho</t>
  </si>
  <si>
    <t>Secretária Geral da Mesa</t>
  </si>
  <si>
    <t>Supervisora de Ética</t>
  </si>
  <si>
    <t>Coordenador de Planejamento</t>
  </si>
  <si>
    <t>FOLHA DE PAGAMENTO - FEVEREIRO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</si>
</sst>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44" fontId="0" fillId="2" borderId="1" xfId="0" applyNumberFormat="1" applyFill="1" applyBorder="1"/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44" fontId="2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0"/>
  <sheetViews>
    <sheetView tabSelected="1" zoomScaleNormal="100" workbookViewId="0">
      <selection activeCell="A3" sqref="A3:S3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5.25" customHeight="1" thickBot="1" x14ac:dyDescent="0.3">
      <c r="A5" s="2" t="s">
        <v>40</v>
      </c>
      <c r="B5" s="2" t="s">
        <v>71</v>
      </c>
      <c r="C5" s="3" t="s">
        <v>70</v>
      </c>
      <c r="D5" s="3" t="s">
        <v>72</v>
      </c>
      <c r="E5" s="3" t="s">
        <v>73</v>
      </c>
      <c r="F5" s="3" t="s">
        <v>74</v>
      </c>
      <c r="G5" s="4" t="s">
        <v>75</v>
      </c>
      <c r="H5" s="3" t="s">
        <v>76</v>
      </c>
      <c r="I5" s="3" t="s">
        <v>62</v>
      </c>
      <c r="J5" s="3" t="s">
        <v>77</v>
      </c>
      <c r="K5" s="3" t="s">
        <v>88</v>
      </c>
      <c r="L5" s="3" t="s">
        <v>78</v>
      </c>
      <c r="M5" s="3" t="s">
        <v>79</v>
      </c>
      <c r="N5" s="3" t="s">
        <v>80</v>
      </c>
      <c r="O5" s="3" t="s">
        <v>90</v>
      </c>
      <c r="P5" s="3" t="s">
        <v>89</v>
      </c>
      <c r="Q5" s="3" t="s">
        <v>81</v>
      </c>
      <c r="R5" s="3" t="s">
        <v>41</v>
      </c>
      <c r="S5" s="3" t="s">
        <v>42</v>
      </c>
    </row>
    <row r="6" spans="1:19" x14ac:dyDescent="0.25">
      <c r="A6" s="5" t="s">
        <v>28</v>
      </c>
      <c r="B6" s="6" t="s">
        <v>29</v>
      </c>
      <c r="C6" s="7">
        <f>2383.35+48.12</f>
        <v>2431.4699999999998</v>
      </c>
      <c r="D6" s="8">
        <v>0</v>
      </c>
      <c r="E6" s="8">
        <v>0</v>
      </c>
      <c r="F6" s="8">
        <v>622.79999999999995</v>
      </c>
      <c r="G6" s="8">
        <v>150.30000000000001</v>
      </c>
      <c r="H6" s="8">
        <v>0</v>
      </c>
      <c r="I6" s="14">
        <f>C6+D6+E6+H6</f>
        <v>2431.4699999999998</v>
      </c>
      <c r="J6" s="8">
        <v>218.83</v>
      </c>
      <c r="K6" s="8">
        <v>23.15</v>
      </c>
      <c r="L6" s="8">
        <v>0</v>
      </c>
      <c r="M6" s="8">
        <f>31.2+1.29</f>
        <v>32.49</v>
      </c>
      <c r="N6" s="8">
        <v>143</v>
      </c>
      <c r="O6" s="8">
        <v>28</v>
      </c>
      <c r="P6" s="8">
        <v>0</v>
      </c>
      <c r="Q6" s="8">
        <v>0</v>
      </c>
      <c r="R6" s="9">
        <f>J6+K6+L6+M6+N6+O6+Q6</f>
        <v>445.47</v>
      </c>
      <c r="S6" s="9">
        <f>I6-R6</f>
        <v>1985.9999999999998</v>
      </c>
    </row>
    <row r="7" spans="1:19" x14ac:dyDescent="0.25">
      <c r="A7" s="10" t="s">
        <v>6</v>
      </c>
      <c r="B7" s="11" t="s">
        <v>84</v>
      </c>
      <c r="C7" s="7">
        <v>5467.66</v>
      </c>
      <c r="D7" s="8">
        <v>0</v>
      </c>
      <c r="E7" s="8">
        <v>5928.03</v>
      </c>
      <c r="F7" s="8">
        <v>622.79999999999995</v>
      </c>
      <c r="G7" s="8">
        <v>0</v>
      </c>
      <c r="H7" s="8">
        <v>0</v>
      </c>
      <c r="I7" s="14">
        <f t="shared" ref="I7:I59" si="0">C7+D7+E7+H7</f>
        <v>11395.689999999999</v>
      </c>
      <c r="J7" s="8">
        <v>621.03</v>
      </c>
      <c r="K7" s="8">
        <v>2093.67</v>
      </c>
      <c r="L7" s="8">
        <v>0</v>
      </c>
      <c r="M7" s="8">
        <f t="shared" ref="M7:M59" si="1">31.2+1.29</f>
        <v>32.49</v>
      </c>
      <c r="N7" s="8">
        <v>0</v>
      </c>
      <c r="O7" s="8">
        <f>89.22+37.04</f>
        <v>126.25999999999999</v>
      </c>
      <c r="P7" s="8">
        <v>0</v>
      </c>
      <c r="Q7" s="8">
        <v>0</v>
      </c>
      <c r="R7" s="9">
        <f t="shared" ref="R7:R59" si="2">J7+K7+L7+M7+N7+O7+Q7</f>
        <v>2873.45</v>
      </c>
      <c r="S7" s="9">
        <f>I7-R7</f>
        <v>8522.239999999998</v>
      </c>
    </row>
    <row r="8" spans="1:19" x14ac:dyDescent="0.25">
      <c r="A8" s="10" t="s">
        <v>85</v>
      </c>
      <c r="B8" s="11" t="s">
        <v>13</v>
      </c>
      <c r="C8" s="7">
        <f>8212.15+165.83</f>
        <v>8377.98</v>
      </c>
      <c r="D8" s="8">
        <v>0</v>
      </c>
      <c r="E8" s="8">
        <v>0</v>
      </c>
      <c r="F8" s="8">
        <v>622.79999999999995</v>
      </c>
      <c r="G8" s="8">
        <v>0</v>
      </c>
      <c r="H8" s="8">
        <f>13.55+2.26</f>
        <v>15.81</v>
      </c>
      <c r="I8" s="14">
        <f t="shared" si="0"/>
        <v>8393.7899999999991</v>
      </c>
      <c r="J8" s="8">
        <v>621.03</v>
      </c>
      <c r="K8" s="8">
        <v>1265.8900000000001</v>
      </c>
      <c r="L8" s="8">
        <v>8.2100000000000009</v>
      </c>
      <c r="M8" s="8">
        <f t="shared" si="1"/>
        <v>32.49</v>
      </c>
      <c r="N8" s="8">
        <v>0</v>
      </c>
      <c r="O8" s="8">
        <v>32.21</v>
      </c>
      <c r="P8" s="8">
        <v>0</v>
      </c>
      <c r="Q8" s="8">
        <v>0</v>
      </c>
      <c r="R8" s="9">
        <f t="shared" si="2"/>
        <v>1959.8300000000002</v>
      </c>
      <c r="S8" s="9">
        <f>I8-R8</f>
        <v>6433.9599999999991</v>
      </c>
    </row>
    <row r="9" spans="1:19" x14ac:dyDescent="0.25">
      <c r="A9" s="10" t="s">
        <v>12</v>
      </c>
      <c r="B9" s="11" t="s">
        <v>13</v>
      </c>
      <c r="C9" s="7">
        <f>8627.67+176.39</f>
        <v>8804.06</v>
      </c>
      <c r="D9" s="8">
        <v>0</v>
      </c>
      <c r="E9" s="8">
        <v>0</v>
      </c>
      <c r="F9" s="8">
        <v>622.79999999999995</v>
      </c>
      <c r="G9" s="8">
        <v>0</v>
      </c>
      <c r="H9" s="8">
        <f>8.8+5.29+2.35</f>
        <v>16.440000000000001</v>
      </c>
      <c r="I9" s="14">
        <f t="shared" si="0"/>
        <v>8820.5</v>
      </c>
      <c r="J9" s="8">
        <v>621.03</v>
      </c>
      <c r="K9" s="8">
        <v>1385.49</v>
      </c>
      <c r="L9" s="8">
        <v>0</v>
      </c>
      <c r="M9" s="8">
        <f t="shared" si="1"/>
        <v>32.49</v>
      </c>
      <c r="N9" s="8">
        <v>0</v>
      </c>
      <c r="O9" s="8">
        <v>28</v>
      </c>
      <c r="P9" s="8">
        <v>0</v>
      </c>
      <c r="Q9" s="8">
        <v>0</v>
      </c>
      <c r="R9" s="9">
        <f t="shared" si="2"/>
        <v>2067.0100000000002</v>
      </c>
      <c r="S9" s="9">
        <f>I9-R9</f>
        <v>6753.49</v>
      </c>
    </row>
    <row r="10" spans="1:19" x14ac:dyDescent="0.25">
      <c r="A10" s="10" t="s">
        <v>56</v>
      </c>
      <c r="B10" s="11" t="s">
        <v>11</v>
      </c>
      <c r="C10" s="7">
        <f>1134.3+56.03+1799.25</f>
        <v>2989.58</v>
      </c>
      <c r="D10" s="8">
        <v>0</v>
      </c>
      <c r="E10" s="8">
        <v>0</v>
      </c>
      <c r="F10" s="8">
        <v>622.79999999999995</v>
      </c>
      <c r="G10" s="8">
        <v>203.4</v>
      </c>
      <c r="H10" s="8">
        <v>0</v>
      </c>
      <c r="I10" s="14">
        <f t="shared" si="0"/>
        <v>2989.58</v>
      </c>
      <c r="J10" s="8">
        <v>328.85</v>
      </c>
      <c r="K10" s="8">
        <v>56.75</v>
      </c>
      <c r="L10" s="8">
        <v>0</v>
      </c>
      <c r="M10" s="8">
        <f t="shared" si="1"/>
        <v>32.49</v>
      </c>
      <c r="N10" s="8">
        <v>136.11000000000001</v>
      </c>
      <c r="O10" s="8">
        <f>39.65+24.35</f>
        <v>64</v>
      </c>
      <c r="P10" s="8">
        <v>0</v>
      </c>
      <c r="Q10" s="8">
        <v>0</v>
      </c>
      <c r="R10" s="9">
        <f t="shared" si="2"/>
        <v>618.20000000000005</v>
      </c>
      <c r="S10" s="9">
        <f>I10-R10</f>
        <v>2371.38</v>
      </c>
    </row>
    <row r="11" spans="1:19" x14ac:dyDescent="0.25">
      <c r="A11" s="10" t="s">
        <v>25</v>
      </c>
      <c r="B11" s="11" t="s">
        <v>16</v>
      </c>
      <c r="C11" s="7">
        <f>5467.66+110.36</f>
        <v>5578.0199999999995</v>
      </c>
      <c r="D11" s="8">
        <v>0</v>
      </c>
      <c r="E11" s="8">
        <v>0</v>
      </c>
      <c r="F11" s="8">
        <v>622.79999999999995</v>
      </c>
      <c r="G11" s="8">
        <v>0</v>
      </c>
      <c r="H11" s="8">
        <v>0</v>
      </c>
      <c r="I11" s="14">
        <f t="shared" si="0"/>
        <v>5578.0199999999995</v>
      </c>
      <c r="J11" s="8">
        <v>611.70000000000005</v>
      </c>
      <c r="K11" s="8">
        <v>491.85</v>
      </c>
      <c r="L11" s="8">
        <v>16.399999999999999</v>
      </c>
      <c r="M11" s="8">
        <f t="shared" si="1"/>
        <v>32.49</v>
      </c>
      <c r="N11" s="8">
        <v>0</v>
      </c>
      <c r="O11" s="8">
        <v>32.21</v>
      </c>
      <c r="P11" s="8">
        <v>0</v>
      </c>
      <c r="Q11" s="8">
        <v>0</v>
      </c>
      <c r="R11" s="9">
        <f t="shared" si="2"/>
        <v>1184.6500000000003</v>
      </c>
      <c r="S11" s="9">
        <f t="shared" ref="S11:S23" si="3">I11-R11</f>
        <v>4393.369999999999</v>
      </c>
    </row>
    <row r="12" spans="1:19" x14ac:dyDescent="0.25">
      <c r="A12" s="10" t="s">
        <v>18</v>
      </c>
      <c r="B12" s="11" t="s">
        <v>19</v>
      </c>
      <c r="C12" s="7">
        <f>1822.64+118.28</f>
        <v>1940.92</v>
      </c>
      <c r="D12" s="8">
        <f>3571.44+1211.59+23.03+31.27+9.05</f>
        <v>4846.38</v>
      </c>
      <c r="E12" s="8">
        <v>0</v>
      </c>
      <c r="F12" s="8">
        <v>622.79999999999995</v>
      </c>
      <c r="G12" s="8">
        <v>0</v>
      </c>
      <c r="H12" s="8">
        <v>0</v>
      </c>
      <c r="I12" s="14">
        <f t="shared" si="0"/>
        <v>6787.3</v>
      </c>
      <c r="J12" s="8">
        <f>87.93+533.1</f>
        <v>621.03</v>
      </c>
      <c r="K12" s="8">
        <f>334.36</f>
        <v>334.36</v>
      </c>
      <c r="L12" s="8">
        <v>54.68</v>
      </c>
      <c r="M12" s="8">
        <f t="shared" si="1"/>
        <v>32.49</v>
      </c>
      <c r="N12" s="8">
        <v>0</v>
      </c>
      <c r="O12" s="8">
        <v>37.04</v>
      </c>
      <c r="P12" s="8">
        <v>0</v>
      </c>
      <c r="Q12" s="8">
        <v>3978.92</v>
      </c>
      <c r="R12" s="9">
        <f t="shared" si="2"/>
        <v>5058.5200000000004</v>
      </c>
      <c r="S12" s="9">
        <f t="shared" si="3"/>
        <v>1728.7799999999997</v>
      </c>
    </row>
    <row r="13" spans="1:19" x14ac:dyDescent="0.25">
      <c r="A13" s="10" t="s">
        <v>3</v>
      </c>
      <c r="B13" s="11" t="s">
        <v>4</v>
      </c>
      <c r="C13" s="7">
        <v>11395.69</v>
      </c>
      <c r="D13" s="8">
        <v>0</v>
      </c>
      <c r="E13" s="8">
        <v>0</v>
      </c>
      <c r="F13" s="8">
        <v>622.79999999999995</v>
      </c>
      <c r="G13" s="8">
        <v>0</v>
      </c>
      <c r="H13" s="8">
        <v>0</v>
      </c>
      <c r="I13" s="14">
        <f t="shared" si="0"/>
        <v>11395.69</v>
      </c>
      <c r="J13" s="8">
        <v>621.03</v>
      </c>
      <c r="K13" s="8">
        <v>2093.67</v>
      </c>
      <c r="L13" s="8">
        <v>0</v>
      </c>
      <c r="M13" s="8">
        <f t="shared" si="1"/>
        <v>32.49</v>
      </c>
      <c r="N13" s="8">
        <v>0</v>
      </c>
      <c r="O13" s="8">
        <f>51.99+128.87</f>
        <v>180.86</v>
      </c>
      <c r="P13" s="8">
        <v>0</v>
      </c>
      <c r="Q13" s="8">
        <v>0</v>
      </c>
      <c r="R13" s="9">
        <f t="shared" si="2"/>
        <v>2928.0499999999997</v>
      </c>
      <c r="S13" s="9">
        <f t="shared" si="3"/>
        <v>8467.6400000000012</v>
      </c>
    </row>
    <row r="14" spans="1:19" x14ac:dyDescent="0.25">
      <c r="A14" s="10" t="s">
        <v>20</v>
      </c>
      <c r="B14" s="11" t="s">
        <v>13</v>
      </c>
      <c r="C14" s="7">
        <f>5176.6+194.34</f>
        <v>5370.9400000000005</v>
      </c>
      <c r="D14" s="8">
        <f>3451.07+1152.17+4.66+0.78</f>
        <v>4608.6799999999994</v>
      </c>
      <c r="E14" s="8">
        <v>3798.6</v>
      </c>
      <c r="F14" s="8">
        <v>622.79999999999995</v>
      </c>
      <c r="G14" s="8">
        <v>0</v>
      </c>
      <c r="H14" s="8">
        <v>0</v>
      </c>
      <c r="I14" s="14">
        <f t="shared" si="0"/>
        <v>13778.22</v>
      </c>
      <c r="J14" s="8">
        <f>124.21+496.82</f>
        <v>621.03</v>
      </c>
      <c r="K14" s="8">
        <f>1618.11+544.09</f>
        <v>2162.1999999999998</v>
      </c>
      <c r="L14" s="8">
        <v>0</v>
      </c>
      <c r="M14" s="8">
        <f t="shared" si="1"/>
        <v>32.49</v>
      </c>
      <c r="N14" s="8">
        <v>0</v>
      </c>
      <c r="O14" s="8">
        <v>37.04</v>
      </c>
      <c r="P14" s="8">
        <v>0</v>
      </c>
      <c r="Q14" s="8">
        <v>3567.77</v>
      </c>
      <c r="R14" s="9">
        <f t="shared" si="2"/>
        <v>6420.5299999999988</v>
      </c>
      <c r="S14" s="9">
        <f t="shared" si="3"/>
        <v>7357.6900000000005</v>
      </c>
    </row>
    <row r="15" spans="1:19" x14ac:dyDescent="0.25">
      <c r="A15" s="10" t="s">
        <v>86</v>
      </c>
      <c r="B15" s="11" t="s">
        <v>67</v>
      </c>
      <c r="C15" s="7">
        <v>7197.28</v>
      </c>
      <c r="D15" s="8">
        <v>0</v>
      </c>
      <c r="E15" s="8">
        <v>0</v>
      </c>
      <c r="F15" s="8">
        <v>622.79999999999995</v>
      </c>
      <c r="G15" s="8">
        <v>0</v>
      </c>
      <c r="H15" s="8">
        <f>457.3+76.22</f>
        <v>533.52</v>
      </c>
      <c r="I15" s="14">
        <f t="shared" si="0"/>
        <v>7730.7999999999993</v>
      </c>
      <c r="J15" s="8">
        <v>621.03</v>
      </c>
      <c r="K15" s="8">
        <v>1085.83</v>
      </c>
      <c r="L15" s="8">
        <v>0</v>
      </c>
      <c r="M15" s="8">
        <f t="shared" si="1"/>
        <v>32.49</v>
      </c>
      <c r="N15" s="8">
        <v>0</v>
      </c>
      <c r="O15" s="8">
        <f>79.3+67.6</f>
        <v>146.89999999999998</v>
      </c>
      <c r="P15" s="8">
        <v>0</v>
      </c>
      <c r="Q15" s="8">
        <v>0</v>
      </c>
      <c r="R15" s="9">
        <f t="shared" si="2"/>
        <v>1886.25</v>
      </c>
      <c r="S15" s="9">
        <f t="shared" si="3"/>
        <v>5844.5499999999993</v>
      </c>
    </row>
    <row r="16" spans="1:19" x14ac:dyDescent="0.25">
      <c r="A16" s="10" t="s">
        <v>1</v>
      </c>
      <c r="B16" s="11" t="s">
        <v>2</v>
      </c>
      <c r="C16" s="7">
        <v>11395.69</v>
      </c>
      <c r="D16" s="8">
        <v>0</v>
      </c>
      <c r="E16" s="8">
        <v>0</v>
      </c>
      <c r="F16" s="8">
        <v>622.79999999999995</v>
      </c>
      <c r="G16" s="8">
        <v>0</v>
      </c>
      <c r="H16" s="8">
        <v>0</v>
      </c>
      <c r="I16" s="14">
        <f t="shared" si="0"/>
        <v>11395.69</v>
      </c>
      <c r="J16" s="8">
        <v>621.03</v>
      </c>
      <c r="K16" s="8">
        <v>2093.67</v>
      </c>
      <c r="L16" s="8">
        <v>0</v>
      </c>
      <c r="M16" s="8">
        <f t="shared" si="1"/>
        <v>32.49</v>
      </c>
      <c r="N16" s="8">
        <v>0</v>
      </c>
      <c r="O16" s="8">
        <f>32.21</f>
        <v>32.21</v>
      </c>
      <c r="P16" s="8">
        <v>0</v>
      </c>
      <c r="Q16" s="8">
        <v>0</v>
      </c>
      <c r="R16" s="9">
        <f t="shared" si="2"/>
        <v>2779.3999999999996</v>
      </c>
      <c r="S16" s="9">
        <f t="shared" si="3"/>
        <v>8616.2900000000009</v>
      </c>
    </row>
    <row r="17" spans="1:19" x14ac:dyDescent="0.25">
      <c r="A17" s="10" t="s">
        <v>15</v>
      </c>
      <c r="B17" s="11" t="s">
        <v>16</v>
      </c>
      <c r="C17" s="7">
        <f>111.19+184.31</f>
        <v>295.5</v>
      </c>
      <c r="D17" s="8">
        <v>0</v>
      </c>
      <c r="E17" s="8">
        <v>0</v>
      </c>
      <c r="F17" s="8">
        <v>622.79999999999995</v>
      </c>
      <c r="G17" s="8">
        <v>0</v>
      </c>
      <c r="H17" s="8">
        <v>0</v>
      </c>
      <c r="I17" s="14">
        <f t="shared" si="0"/>
        <v>295.5</v>
      </c>
      <c r="J17" s="8">
        <v>8.89</v>
      </c>
      <c r="K17" s="8">
        <v>0</v>
      </c>
      <c r="L17" s="8">
        <v>0</v>
      </c>
      <c r="M17" s="8">
        <f t="shared" si="1"/>
        <v>32.49</v>
      </c>
      <c r="N17" s="8">
        <v>0</v>
      </c>
      <c r="O17" s="8">
        <f>39.65+32.21</f>
        <v>71.86</v>
      </c>
      <c r="P17" s="8">
        <v>0</v>
      </c>
      <c r="Q17" s="8">
        <v>0</v>
      </c>
      <c r="R17" s="9">
        <f>J17+K17+L17+M17+N17+O17+Q17+182.26</f>
        <v>295.5</v>
      </c>
      <c r="S17" s="9">
        <f t="shared" si="3"/>
        <v>0</v>
      </c>
    </row>
    <row r="18" spans="1:19" x14ac:dyDescent="0.25">
      <c r="A18" s="10" t="s">
        <v>92</v>
      </c>
      <c r="B18" s="11" t="s">
        <v>13</v>
      </c>
      <c r="C18" s="7">
        <v>2145.5700000000002</v>
      </c>
      <c r="D18" s="8">
        <v>0</v>
      </c>
      <c r="E18" s="8">
        <v>0</v>
      </c>
      <c r="F18" s="8">
        <v>622.79999999999995</v>
      </c>
      <c r="G18" s="8">
        <v>0</v>
      </c>
      <c r="H18" s="8">
        <v>0</v>
      </c>
      <c r="I18" s="14">
        <f t="shared" si="0"/>
        <v>2145.5700000000002</v>
      </c>
      <c r="J18" s="8">
        <v>193.1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f t="shared" si="2"/>
        <v>193.1</v>
      </c>
      <c r="S18" s="9">
        <f t="shared" si="3"/>
        <v>1952.4700000000003</v>
      </c>
    </row>
    <row r="19" spans="1:19" x14ac:dyDescent="0.25">
      <c r="A19" s="10" t="s">
        <v>30</v>
      </c>
      <c r="B19" s="11" t="s">
        <v>19</v>
      </c>
      <c r="C19" s="7">
        <f>5467.66+135.6</f>
        <v>5603.26</v>
      </c>
      <c r="D19" s="8">
        <v>0</v>
      </c>
      <c r="E19" s="8">
        <v>0</v>
      </c>
      <c r="F19" s="8">
        <v>622.79999999999995</v>
      </c>
      <c r="G19" s="8">
        <v>207</v>
      </c>
      <c r="H19" s="8">
        <v>0</v>
      </c>
      <c r="I19" s="14">
        <f t="shared" si="0"/>
        <v>5603.26</v>
      </c>
      <c r="J19" s="8">
        <v>615.05999999999995</v>
      </c>
      <c r="K19" s="8">
        <v>447.02</v>
      </c>
      <c r="L19" s="8">
        <v>11.76</v>
      </c>
      <c r="M19" s="8">
        <f t="shared" si="1"/>
        <v>32.49</v>
      </c>
      <c r="N19" s="8">
        <v>207</v>
      </c>
      <c r="O19" s="8">
        <f>39.65+28</f>
        <v>67.650000000000006</v>
      </c>
      <c r="P19" s="8">
        <v>0</v>
      </c>
      <c r="Q19" s="8">
        <v>0</v>
      </c>
      <c r="R19" s="9">
        <f t="shared" si="2"/>
        <v>1380.98</v>
      </c>
      <c r="S19" s="9">
        <f t="shared" si="3"/>
        <v>4222.2800000000007</v>
      </c>
    </row>
    <row r="20" spans="1:19" x14ac:dyDescent="0.25">
      <c r="A20" s="10" t="s">
        <v>83</v>
      </c>
      <c r="B20" s="11" t="s">
        <v>11</v>
      </c>
      <c r="C20" s="7">
        <f>2268.55+45.8</f>
        <v>2314.3500000000004</v>
      </c>
      <c r="D20" s="8">
        <v>0</v>
      </c>
      <c r="E20" s="8">
        <v>0</v>
      </c>
      <c r="F20" s="8">
        <v>622.79999999999995</v>
      </c>
      <c r="G20" s="8">
        <v>145.80000000000001</v>
      </c>
      <c r="H20" s="8">
        <v>0</v>
      </c>
      <c r="I20" s="14">
        <f t="shared" si="0"/>
        <v>2314.3500000000004</v>
      </c>
      <c r="J20" s="8">
        <v>208.29</v>
      </c>
      <c r="K20" s="8">
        <v>15.15</v>
      </c>
      <c r="L20" s="8">
        <v>0</v>
      </c>
      <c r="M20" s="8">
        <f t="shared" si="1"/>
        <v>32.49</v>
      </c>
      <c r="N20" s="8">
        <v>136.11000000000001</v>
      </c>
      <c r="O20" s="8">
        <v>67.599999999999994</v>
      </c>
      <c r="P20" s="8">
        <v>0</v>
      </c>
      <c r="Q20" s="8">
        <v>0</v>
      </c>
      <c r="R20" s="9">
        <f t="shared" si="2"/>
        <v>459.64</v>
      </c>
      <c r="S20" s="9">
        <f t="shared" si="3"/>
        <v>1854.7100000000005</v>
      </c>
    </row>
    <row r="21" spans="1:19" x14ac:dyDescent="0.25">
      <c r="A21" s="10" t="s">
        <v>93</v>
      </c>
      <c r="B21" s="11" t="s">
        <v>16</v>
      </c>
      <c r="C21" s="7">
        <v>1733.58</v>
      </c>
      <c r="D21" s="8">
        <v>0</v>
      </c>
      <c r="E21" s="8">
        <v>0</v>
      </c>
      <c r="F21" s="8">
        <v>622.79999999999995</v>
      </c>
      <c r="G21" s="8">
        <v>0</v>
      </c>
      <c r="H21" s="8">
        <v>0</v>
      </c>
      <c r="I21" s="14">
        <f t="shared" si="0"/>
        <v>1733.58</v>
      </c>
      <c r="J21" s="8">
        <v>156.02000000000001</v>
      </c>
      <c r="K21" s="8">
        <v>0</v>
      </c>
      <c r="L21" s="8">
        <v>0</v>
      </c>
      <c r="M21" s="8">
        <v>12.72</v>
      </c>
      <c r="N21" s="8">
        <v>64.8</v>
      </c>
      <c r="O21" s="8">
        <v>0</v>
      </c>
      <c r="P21" s="8">
        <v>0</v>
      </c>
      <c r="Q21" s="8">
        <v>0</v>
      </c>
      <c r="R21" s="9">
        <f t="shared" si="2"/>
        <v>233.54000000000002</v>
      </c>
      <c r="S21" s="9">
        <f t="shared" si="3"/>
        <v>1500.04</v>
      </c>
    </row>
    <row r="22" spans="1:19" x14ac:dyDescent="0.25">
      <c r="A22" s="10" t="s">
        <v>37</v>
      </c>
      <c r="B22" s="11" t="s">
        <v>19</v>
      </c>
      <c r="C22" s="7">
        <f>5308.41+107.37</f>
        <v>5415.78</v>
      </c>
      <c r="D22" s="8">
        <v>0</v>
      </c>
      <c r="E22" s="8">
        <v>0</v>
      </c>
      <c r="F22" s="8">
        <v>622.79999999999995</v>
      </c>
      <c r="G22" s="8">
        <v>0</v>
      </c>
      <c r="H22" s="8">
        <f>18.58+98.73+19.55</f>
        <v>136.86000000000001</v>
      </c>
      <c r="I22" s="14">
        <f t="shared" si="0"/>
        <v>5552.6399999999994</v>
      </c>
      <c r="J22" s="8">
        <v>610.79</v>
      </c>
      <c r="K22" s="8">
        <v>489.65</v>
      </c>
      <c r="L22" s="8">
        <v>0</v>
      </c>
      <c r="M22" s="8">
        <f t="shared" si="1"/>
        <v>32.49</v>
      </c>
      <c r="N22" s="8">
        <v>0</v>
      </c>
      <c r="O22" s="8">
        <f>67.6+39.65</f>
        <v>107.25</v>
      </c>
      <c r="P22" s="8">
        <v>0</v>
      </c>
      <c r="Q22" s="8">
        <v>0</v>
      </c>
      <c r="R22" s="9">
        <f t="shared" si="2"/>
        <v>1240.18</v>
      </c>
      <c r="S22" s="9">
        <f t="shared" si="3"/>
        <v>4312.4599999999991</v>
      </c>
    </row>
    <row r="23" spans="1:19" x14ac:dyDescent="0.25">
      <c r="A23" s="10" t="s">
        <v>87</v>
      </c>
      <c r="B23" s="11" t="s">
        <v>11</v>
      </c>
      <c r="C23" s="7">
        <f>2268.55+46.01</f>
        <v>2314.5600000000004</v>
      </c>
      <c r="D23" s="8">
        <v>0</v>
      </c>
      <c r="E23" s="8">
        <v>0</v>
      </c>
      <c r="F23" s="8">
        <v>622.79999999999995</v>
      </c>
      <c r="G23" s="8">
        <v>0</v>
      </c>
      <c r="H23" s="8">
        <v>0</v>
      </c>
      <c r="I23" s="14">
        <f t="shared" si="0"/>
        <v>2314.5600000000004</v>
      </c>
      <c r="J23" s="8">
        <v>208.31</v>
      </c>
      <c r="K23" s="8">
        <v>15.17</v>
      </c>
      <c r="L23" s="8">
        <v>0</v>
      </c>
      <c r="M23" s="8">
        <f t="shared" si="1"/>
        <v>32.49</v>
      </c>
      <c r="N23" s="8">
        <v>0</v>
      </c>
      <c r="O23" s="8">
        <v>37.04</v>
      </c>
      <c r="P23" s="8">
        <v>0</v>
      </c>
      <c r="Q23" s="8">
        <v>0</v>
      </c>
      <c r="R23" s="9">
        <f t="shared" si="2"/>
        <v>293.01</v>
      </c>
      <c r="S23" s="9">
        <f t="shared" si="3"/>
        <v>2021.5500000000004</v>
      </c>
    </row>
    <row r="24" spans="1:19" x14ac:dyDescent="0.25">
      <c r="A24" s="10" t="s">
        <v>43</v>
      </c>
      <c r="B24" s="11" t="s">
        <v>11</v>
      </c>
      <c r="C24" s="7">
        <f>1890.5+45.8</f>
        <v>1936.3</v>
      </c>
      <c r="D24" s="8">
        <f>378.05+126.81+0.68+1.36+0.34+0.35</f>
        <v>507.59000000000003</v>
      </c>
      <c r="E24" s="8">
        <v>0</v>
      </c>
      <c r="F24" s="8">
        <v>622.79999999999995</v>
      </c>
      <c r="G24" s="8">
        <v>504</v>
      </c>
      <c r="H24" s="8">
        <v>0</v>
      </c>
      <c r="I24" s="14">
        <f t="shared" si="0"/>
        <v>2443.89</v>
      </c>
      <c r="J24" s="8">
        <f>179.34+40.57+0.71</f>
        <v>220.62</v>
      </c>
      <c r="K24" s="8">
        <v>0</v>
      </c>
      <c r="L24" s="8">
        <v>0</v>
      </c>
      <c r="M24" s="8">
        <f t="shared" si="1"/>
        <v>32.49</v>
      </c>
      <c r="N24" s="8">
        <v>136.11000000000001</v>
      </c>
      <c r="O24" s="8">
        <v>0</v>
      </c>
      <c r="P24" s="8">
        <v>0</v>
      </c>
      <c r="Q24" s="8">
        <v>466.67</v>
      </c>
      <c r="R24" s="9">
        <f t="shared" si="2"/>
        <v>855.8900000000001</v>
      </c>
      <c r="S24" s="9">
        <f>I24-R24</f>
        <v>1587.9999999999998</v>
      </c>
    </row>
    <row r="25" spans="1:19" x14ac:dyDescent="0.25">
      <c r="A25" s="10" t="s">
        <v>55</v>
      </c>
      <c r="B25" s="11" t="s">
        <v>11</v>
      </c>
      <c r="C25" s="7">
        <f>2268.55+51.49</f>
        <v>2320.04</v>
      </c>
      <c r="D25" s="8">
        <v>0</v>
      </c>
      <c r="E25" s="8">
        <v>0</v>
      </c>
      <c r="F25" s="8">
        <v>622.79999999999995</v>
      </c>
      <c r="G25" s="8">
        <v>0</v>
      </c>
      <c r="H25" s="8">
        <v>0</v>
      </c>
      <c r="I25" s="14">
        <f t="shared" si="0"/>
        <v>2320.04</v>
      </c>
      <c r="J25" s="8">
        <v>206.04</v>
      </c>
      <c r="K25" s="8">
        <v>13.45</v>
      </c>
      <c r="L25" s="8">
        <v>30.63</v>
      </c>
      <c r="M25" s="8">
        <f t="shared" si="1"/>
        <v>32.49</v>
      </c>
      <c r="N25" s="8">
        <v>136.11000000000001</v>
      </c>
      <c r="O25" s="8">
        <f>49.57+32.21</f>
        <v>81.78</v>
      </c>
      <c r="P25" s="8">
        <v>0</v>
      </c>
      <c r="Q25" s="8">
        <v>0</v>
      </c>
      <c r="R25" s="9">
        <f t="shared" si="2"/>
        <v>500.5</v>
      </c>
      <c r="S25" s="9">
        <f>I25-R25</f>
        <v>1819.54</v>
      </c>
    </row>
    <row r="26" spans="1:19" x14ac:dyDescent="0.25">
      <c r="A26" s="10" t="s">
        <v>57</v>
      </c>
      <c r="B26" s="11" t="s">
        <v>11</v>
      </c>
      <c r="C26" s="7">
        <f>2268.55+54.04</f>
        <v>2322.59</v>
      </c>
      <c r="D26" s="8">
        <v>0</v>
      </c>
      <c r="E26" s="8">
        <v>0</v>
      </c>
      <c r="F26" s="8">
        <v>622.79999999999995</v>
      </c>
      <c r="G26" s="8">
        <v>0</v>
      </c>
      <c r="H26" s="8">
        <v>0</v>
      </c>
      <c r="I26" s="14">
        <f t="shared" si="0"/>
        <v>2322.59</v>
      </c>
      <c r="J26" s="8">
        <v>209.31</v>
      </c>
      <c r="K26" s="8">
        <v>15.93</v>
      </c>
      <c r="L26" s="8">
        <v>0</v>
      </c>
      <c r="M26" s="8">
        <f t="shared" si="1"/>
        <v>32.49</v>
      </c>
      <c r="N26" s="8">
        <v>0</v>
      </c>
      <c r="O26" s="8">
        <v>32.21</v>
      </c>
      <c r="P26" s="8">
        <f>3.17+403.17</f>
        <v>406.34000000000003</v>
      </c>
      <c r="Q26" s="8">
        <v>0</v>
      </c>
      <c r="R26" s="9">
        <f t="shared" si="2"/>
        <v>289.94</v>
      </c>
      <c r="S26" s="15">
        <f>((I26-R26)+P26)</f>
        <v>2438.9900000000002</v>
      </c>
    </row>
    <row r="27" spans="1:19" x14ac:dyDescent="0.25">
      <c r="A27" s="10" t="s">
        <v>8</v>
      </c>
      <c r="B27" s="11" t="s">
        <v>7</v>
      </c>
      <c r="C27" s="7">
        <f>5467.66+117.74</f>
        <v>5585.4</v>
      </c>
      <c r="D27" s="8">
        <v>0</v>
      </c>
      <c r="E27" s="8">
        <v>0</v>
      </c>
      <c r="F27" s="8">
        <v>622.79999999999995</v>
      </c>
      <c r="G27" s="8">
        <v>0</v>
      </c>
      <c r="H27" s="8">
        <f>440.86+73.48</f>
        <v>514.34</v>
      </c>
      <c r="I27" s="14">
        <f t="shared" si="0"/>
        <v>6099.74</v>
      </c>
      <c r="J27" s="8">
        <v>621.03</v>
      </c>
      <c r="K27" s="8">
        <v>637.29</v>
      </c>
      <c r="L27" s="8">
        <v>0</v>
      </c>
      <c r="M27" s="8">
        <f t="shared" si="1"/>
        <v>32.49</v>
      </c>
      <c r="N27" s="8">
        <v>0</v>
      </c>
      <c r="O27" s="8">
        <v>0</v>
      </c>
      <c r="P27" s="8">
        <v>0</v>
      </c>
      <c r="Q27" s="8">
        <v>0</v>
      </c>
      <c r="R27" s="9">
        <f t="shared" si="2"/>
        <v>1290.81</v>
      </c>
      <c r="S27" s="9">
        <f t="shared" ref="S27:S59" si="4">I27-R27</f>
        <v>4808.93</v>
      </c>
    </row>
    <row r="28" spans="1:19" x14ac:dyDescent="0.25">
      <c r="A28" s="10" t="s">
        <v>50</v>
      </c>
      <c r="B28" s="11" t="s">
        <v>10</v>
      </c>
      <c r="C28" s="7">
        <f>3202.65+64.84</f>
        <v>3267.4900000000002</v>
      </c>
      <c r="D28" s="8">
        <v>0</v>
      </c>
      <c r="E28" s="8">
        <v>0</v>
      </c>
      <c r="F28" s="8">
        <v>622.79999999999995</v>
      </c>
      <c r="G28" s="8">
        <v>0</v>
      </c>
      <c r="H28" s="8">
        <f>101.36+16.89</f>
        <v>118.25</v>
      </c>
      <c r="I28" s="14">
        <f t="shared" si="0"/>
        <v>3385.7400000000002</v>
      </c>
      <c r="J28" s="8">
        <v>372.43</v>
      </c>
      <c r="K28" s="8">
        <v>97.2</v>
      </c>
      <c r="L28" s="8">
        <v>0</v>
      </c>
      <c r="M28" s="8">
        <f t="shared" si="1"/>
        <v>32.49</v>
      </c>
      <c r="N28" s="8">
        <v>0</v>
      </c>
      <c r="O28" s="8">
        <f>128.87+28</f>
        <v>156.87</v>
      </c>
      <c r="P28" s="8">
        <v>0</v>
      </c>
      <c r="Q28" s="8">
        <v>0</v>
      </c>
      <c r="R28" s="9">
        <f t="shared" si="2"/>
        <v>658.99</v>
      </c>
      <c r="S28" s="9">
        <f t="shared" si="4"/>
        <v>2726.75</v>
      </c>
    </row>
    <row r="29" spans="1:19" x14ac:dyDescent="0.25">
      <c r="A29" s="10" t="s">
        <v>17</v>
      </c>
      <c r="B29" s="11" t="s">
        <v>11</v>
      </c>
      <c r="C29" s="7">
        <f>2383.35+29.35</f>
        <v>2412.6999999999998</v>
      </c>
      <c r="D29" s="8">
        <v>0</v>
      </c>
      <c r="E29" s="8">
        <v>0</v>
      </c>
      <c r="F29" s="8">
        <v>622.79999999999995</v>
      </c>
      <c r="G29" s="8">
        <v>0</v>
      </c>
      <c r="H29" s="8">
        <v>0</v>
      </c>
      <c r="I29" s="14">
        <f t="shared" si="0"/>
        <v>2412.6999999999998</v>
      </c>
      <c r="J29" s="8">
        <v>215.37</v>
      </c>
      <c r="K29" s="8">
        <v>20.53</v>
      </c>
      <c r="L29" s="8">
        <v>19.66</v>
      </c>
      <c r="M29" s="8">
        <f t="shared" si="1"/>
        <v>32.49</v>
      </c>
      <c r="N29" s="8">
        <v>0</v>
      </c>
      <c r="O29" s="8">
        <v>24.35</v>
      </c>
      <c r="P29" s="8">
        <v>0</v>
      </c>
      <c r="Q29" s="8">
        <v>0</v>
      </c>
      <c r="R29" s="9">
        <f t="shared" si="2"/>
        <v>312.40000000000003</v>
      </c>
      <c r="S29" s="9">
        <f t="shared" si="4"/>
        <v>2100.2999999999997</v>
      </c>
    </row>
    <row r="30" spans="1:19" x14ac:dyDescent="0.25">
      <c r="A30" s="10" t="s">
        <v>34</v>
      </c>
      <c r="B30" s="11" t="s">
        <v>11</v>
      </c>
      <c r="C30" s="7">
        <f>2383.35+48.13</f>
        <v>2431.48</v>
      </c>
      <c r="D30" s="8">
        <v>0</v>
      </c>
      <c r="E30" s="8">
        <v>0</v>
      </c>
      <c r="F30" s="8">
        <v>622.79999999999995</v>
      </c>
      <c r="G30" s="8">
        <v>0</v>
      </c>
      <c r="H30" s="8">
        <v>0</v>
      </c>
      <c r="I30" s="14">
        <f t="shared" si="0"/>
        <v>2431.48</v>
      </c>
      <c r="J30" s="8">
        <v>217.81</v>
      </c>
      <c r="K30" s="8">
        <v>22.38</v>
      </c>
      <c r="L30" s="8">
        <v>11.32</v>
      </c>
      <c r="M30" s="8">
        <f t="shared" si="1"/>
        <v>32.49</v>
      </c>
      <c r="N30" s="8">
        <v>0</v>
      </c>
      <c r="O30" s="8">
        <v>32.21</v>
      </c>
      <c r="P30" s="8">
        <v>0</v>
      </c>
      <c r="Q30" s="8">
        <v>0</v>
      </c>
      <c r="R30" s="9">
        <f t="shared" si="2"/>
        <v>316.20999999999998</v>
      </c>
      <c r="S30" s="9">
        <f t="shared" si="4"/>
        <v>2115.27</v>
      </c>
    </row>
    <row r="31" spans="1:19" x14ac:dyDescent="0.25">
      <c r="A31" s="10" t="s">
        <v>9</v>
      </c>
      <c r="B31" s="11" t="s">
        <v>7</v>
      </c>
      <c r="C31" s="7">
        <f>2602.16+105.05</f>
        <v>2707.21</v>
      </c>
      <c r="D31" s="8">
        <f>2549.64+879.09+40.92+34.2+12.52</f>
        <v>3516.37</v>
      </c>
      <c r="E31" s="8">
        <v>0</v>
      </c>
      <c r="F31" s="8">
        <v>622.79999999999995</v>
      </c>
      <c r="G31" s="8">
        <v>0</v>
      </c>
      <c r="H31" s="8">
        <f>45.12+270.62</f>
        <v>315.74</v>
      </c>
      <c r="I31" s="14">
        <f t="shared" si="0"/>
        <v>6539.32</v>
      </c>
      <c r="J31" s="8">
        <f>234.23+386.8</f>
        <v>621.03</v>
      </c>
      <c r="K31" s="8">
        <f>65.03+114.64</f>
        <v>179.67000000000002</v>
      </c>
      <c r="L31" s="8">
        <v>17.690000000000001</v>
      </c>
      <c r="M31" s="8">
        <f t="shared" si="1"/>
        <v>32.49</v>
      </c>
      <c r="N31" s="8">
        <v>0</v>
      </c>
      <c r="O31" s="8">
        <f>39.65+28</f>
        <v>67.650000000000006</v>
      </c>
      <c r="P31" s="8">
        <v>0</v>
      </c>
      <c r="Q31" s="8">
        <v>3014.93</v>
      </c>
      <c r="R31" s="9">
        <f t="shared" si="2"/>
        <v>3933.46</v>
      </c>
      <c r="S31" s="9">
        <f t="shared" si="4"/>
        <v>2605.8599999999997</v>
      </c>
    </row>
    <row r="32" spans="1:19" x14ac:dyDescent="0.25">
      <c r="A32" s="10" t="s">
        <v>5</v>
      </c>
      <c r="B32" s="11" t="s">
        <v>95</v>
      </c>
      <c r="C32" s="7">
        <v>11395.69</v>
      </c>
      <c r="D32" s="8">
        <v>0</v>
      </c>
      <c r="E32" s="8">
        <v>0</v>
      </c>
      <c r="F32" s="8">
        <v>622.79999999999995</v>
      </c>
      <c r="G32" s="8">
        <v>0</v>
      </c>
      <c r="H32" s="8">
        <v>0</v>
      </c>
      <c r="I32" s="14">
        <f t="shared" si="0"/>
        <v>11395.69</v>
      </c>
      <c r="J32" s="8">
        <v>621.03</v>
      </c>
      <c r="K32" s="8">
        <v>2042.41</v>
      </c>
      <c r="L32" s="8">
        <v>0</v>
      </c>
      <c r="M32" s="8">
        <f t="shared" si="1"/>
        <v>32.49</v>
      </c>
      <c r="N32" s="8">
        <v>0</v>
      </c>
      <c r="O32" s="8">
        <f>49.57+37.04</f>
        <v>86.61</v>
      </c>
      <c r="P32" s="8">
        <f>3.17+403.17</f>
        <v>406.34000000000003</v>
      </c>
      <c r="Q32" s="8">
        <v>0</v>
      </c>
      <c r="R32" s="9">
        <f t="shared" si="2"/>
        <v>2782.54</v>
      </c>
      <c r="S32" s="15">
        <f>((I32-R32)+P32)</f>
        <v>9019.4900000000016</v>
      </c>
    </row>
    <row r="33" spans="1:19" x14ac:dyDescent="0.25">
      <c r="A33" s="10" t="s">
        <v>32</v>
      </c>
      <c r="B33" s="11" t="s">
        <v>13</v>
      </c>
      <c r="C33" s="7">
        <f>8627.67+113.24</f>
        <v>8740.91</v>
      </c>
      <c r="D33" s="8">
        <v>0</v>
      </c>
      <c r="E33" s="8">
        <v>0</v>
      </c>
      <c r="F33" s="8">
        <v>622.79999999999995</v>
      </c>
      <c r="G33" s="8">
        <v>0</v>
      </c>
      <c r="H33" s="8">
        <v>0</v>
      </c>
      <c r="I33" s="14">
        <f t="shared" si="0"/>
        <v>8740.91</v>
      </c>
      <c r="J33" s="8">
        <v>621.03</v>
      </c>
      <c r="K33" s="8">
        <v>1363.61</v>
      </c>
      <c r="L33" s="8">
        <v>0</v>
      </c>
      <c r="M33" s="8">
        <f t="shared" si="1"/>
        <v>32.49</v>
      </c>
      <c r="N33" s="8">
        <v>0</v>
      </c>
      <c r="O33" s="8">
        <v>32.21</v>
      </c>
      <c r="P33" s="8">
        <v>0</v>
      </c>
      <c r="Q33" s="8">
        <v>0</v>
      </c>
      <c r="R33" s="9">
        <f t="shared" si="2"/>
        <v>2049.3399999999997</v>
      </c>
      <c r="S33" s="9">
        <f t="shared" si="4"/>
        <v>6691.57</v>
      </c>
    </row>
    <row r="34" spans="1:19" x14ac:dyDescent="0.25">
      <c r="A34" s="10" t="s">
        <v>27</v>
      </c>
      <c r="B34" s="11" t="s">
        <v>11</v>
      </c>
      <c r="C34" s="7">
        <v>2302.19</v>
      </c>
      <c r="D34" s="8">
        <v>0</v>
      </c>
      <c r="E34" s="8">
        <v>0</v>
      </c>
      <c r="F34" s="8">
        <v>622.79999999999995</v>
      </c>
      <c r="G34" s="8">
        <v>0</v>
      </c>
      <c r="H34" s="8">
        <v>0</v>
      </c>
      <c r="I34" s="14">
        <f t="shared" si="0"/>
        <v>2302.19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>367.3+37.04</f>
        <v>404.34000000000003</v>
      </c>
      <c r="P34" s="8">
        <v>0</v>
      </c>
      <c r="Q34" s="8">
        <v>0</v>
      </c>
      <c r="R34" s="9">
        <f>J34+K34+L34+M34+N34+O34+Q34+1897.85</f>
        <v>2302.19</v>
      </c>
      <c r="S34" s="9">
        <f t="shared" si="4"/>
        <v>0</v>
      </c>
    </row>
    <row r="35" spans="1:19" x14ac:dyDescent="0.25">
      <c r="A35" s="10" t="s">
        <v>58</v>
      </c>
      <c r="B35" s="11" t="s">
        <v>11</v>
      </c>
      <c r="C35" s="7">
        <f>2268.55</f>
        <v>2268.5500000000002</v>
      </c>
      <c r="D35" s="8">
        <v>0</v>
      </c>
      <c r="E35" s="8">
        <v>1330.09</v>
      </c>
      <c r="F35" s="8">
        <v>373.68</v>
      </c>
      <c r="G35" s="8">
        <v>162</v>
      </c>
      <c r="H35" s="8">
        <f>13.16+94.75+17.99</f>
        <v>125.89999999999999</v>
      </c>
      <c r="I35" s="14">
        <f t="shared" si="0"/>
        <v>3724.5400000000004</v>
      </c>
      <c r="J35" s="8">
        <v>409.69</v>
      </c>
      <c r="K35" s="8">
        <v>142.43</v>
      </c>
      <c r="L35" s="8">
        <v>0</v>
      </c>
      <c r="M35" s="19">
        <f>18.72+1.05</f>
        <v>19.77</v>
      </c>
      <c r="N35" s="8">
        <v>136.11000000000001</v>
      </c>
      <c r="O35" s="8">
        <v>51.99</v>
      </c>
      <c r="P35" s="8">
        <v>0</v>
      </c>
      <c r="Q35" s="8">
        <v>0</v>
      </c>
      <c r="R35" s="9">
        <f t="shared" si="2"/>
        <v>759.99</v>
      </c>
      <c r="S35" s="9">
        <f t="shared" si="4"/>
        <v>2964.55</v>
      </c>
    </row>
    <row r="36" spans="1:19" x14ac:dyDescent="0.25">
      <c r="A36" s="10" t="s">
        <v>51</v>
      </c>
      <c r="B36" s="11" t="s">
        <v>52</v>
      </c>
      <c r="C36" s="7">
        <v>3598.64</v>
      </c>
      <c r="D36" s="8">
        <v>0</v>
      </c>
      <c r="E36" s="8">
        <v>0</v>
      </c>
      <c r="F36" s="8">
        <v>622.79999999999995</v>
      </c>
      <c r="G36" s="8">
        <v>351</v>
      </c>
      <c r="H36" s="8">
        <f>14.39+171.12+30.92</f>
        <v>216.43</v>
      </c>
      <c r="I36" s="14">
        <f t="shared" si="0"/>
        <v>3815.0699999999997</v>
      </c>
      <c r="J36" s="8">
        <v>419.65</v>
      </c>
      <c r="K36" s="8">
        <v>154.51</v>
      </c>
      <c r="L36" s="8">
        <v>0</v>
      </c>
      <c r="M36" s="8">
        <f t="shared" si="1"/>
        <v>32.49</v>
      </c>
      <c r="N36" s="8">
        <v>215.92</v>
      </c>
      <c r="O36" s="8">
        <f>39.65+67.6</f>
        <v>107.25</v>
      </c>
      <c r="P36" s="8">
        <v>0</v>
      </c>
      <c r="Q36" s="8">
        <v>0</v>
      </c>
      <c r="R36" s="9">
        <f t="shared" si="2"/>
        <v>929.81999999999994</v>
      </c>
      <c r="S36" s="9">
        <f t="shared" si="4"/>
        <v>2885.25</v>
      </c>
    </row>
    <row r="37" spans="1:19" x14ac:dyDescent="0.25">
      <c r="A37" s="10" t="s">
        <v>53</v>
      </c>
      <c r="B37" s="11" t="s">
        <v>11</v>
      </c>
      <c r="C37" s="7">
        <f>2268.55+54.5</f>
        <v>2323.0500000000002</v>
      </c>
      <c r="D37" s="8">
        <v>0</v>
      </c>
      <c r="E37" s="8">
        <v>0</v>
      </c>
      <c r="F37" s="8">
        <v>622.79999999999995</v>
      </c>
      <c r="G37" s="8">
        <v>145.80000000000001</v>
      </c>
      <c r="H37" s="8">
        <f>20.58+3.43</f>
        <v>24.009999999999998</v>
      </c>
      <c r="I37" s="14">
        <f t="shared" si="0"/>
        <v>2347.0600000000004</v>
      </c>
      <c r="J37" s="8">
        <v>211.52</v>
      </c>
      <c r="K37" s="8">
        <v>17.600000000000001</v>
      </c>
      <c r="L37" s="8">
        <v>0</v>
      </c>
      <c r="M37" s="8">
        <f t="shared" si="1"/>
        <v>32.49</v>
      </c>
      <c r="N37" s="8">
        <v>136.11000000000001</v>
      </c>
      <c r="O37" s="8">
        <f>65.43+37.04</f>
        <v>102.47</v>
      </c>
      <c r="P37" s="8">
        <f>3.17+403.1</f>
        <v>406.27000000000004</v>
      </c>
      <c r="Q37" s="8">
        <v>0</v>
      </c>
      <c r="R37" s="9">
        <f>J37+K37+L37+M37+N37+O37+Q37+370.46</f>
        <v>870.65000000000009</v>
      </c>
      <c r="S37" s="9">
        <f>((I37-R37)+P37)</f>
        <v>1882.6800000000003</v>
      </c>
    </row>
    <row r="38" spans="1:19" x14ac:dyDescent="0.25">
      <c r="A38" s="10" t="s">
        <v>21</v>
      </c>
      <c r="B38" s="11" t="s">
        <v>68</v>
      </c>
      <c r="C38" s="7">
        <f>2383.35</f>
        <v>2383.35</v>
      </c>
      <c r="D38" s="8">
        <v>0</v>
      </c>
      <c r="E38" s="8">
        <v>4813.93</v>
      </c>
      <c r="F38" s="8">
        <v>622.79999999999995</v>
      </c>
      <c r="G38" s="8">
        <v>145.80000000000001</v>
      </c>
      <c r="H38" s="8">
        <f>5.36+0.89</f>
        <v>6.25</v>
      </c>
      <c r="I38" s="14">
        <f t="shared" si="0"/>
        <v>7203.5300000000007</v>
      </c>
      <c r="J38" s="8">
        <v>621.03</v>
      </c>
      <c r="K38" s="8">
        <v>940.83</v>
      </c>
      <c r="L38" s="8">
        <v>0</v>
      </c>
      <c r="M38" s="8">
        <f t="shared" si="1"/>
        <v>32.49</v>
      </c>
      <c r="N38" s="8">
        <v>143</v>
      </c>
      <c r="O38" s="8">
        <v>0</v>
      </c>
      <c r="P38" s="8">
        <v>0</v>
      </c>
      <c r="Q38" s="8">
        <v>0</v>
      </c>
      <c r="R38" s="9">
        <f t="shared" si="2"/>
        <v>1737.3500000000001</v>
      </c>
      <c r="S38" s="9">
        <f t="shared" si="4"/>
        <v>5466.18</v>
      </c>
    </row>
    <row r="39" spans="1:19" x14ac:dyDescent="0.25">
      <c r="A39" s="10" t="s">
        <v>61</v>
      </c>
      <c r="B39" s="11" t="s">
        <v>11</v>
      </c>
      <c r="C39" s="7">
        <f>1512.33+45.96</f>
        <v>1558.29</v>
      </c>
      <c r="D39" s="8">
        <f>756.22+259.61+3.06+16.32+3.23</f>
        <v>1038.44</v>
      </c>
      <c r="E39" s="8">
        <v>0</v>
      </c>
      <c r="F39" s="8">
        <v>622.79999999999995</v>
      </c>
      <c r="G39" s="8">
        <v>340.2</v>
      </c>
      <c r="H39" s="8">
        <v>0</v>
      </c>
      <c r="I39" s="14">
        <f t="shared" si="0"/>
        <v>2596.73</v>
      </c>
      <c r="J39" s="8">
        <f>150.49+83.07</f>
        <v>233.56</v>
      </c>
      <c r="K39" s="8">
        <v>0</v>
      </c>
      <c r="L39" s="8">
        <v>1.59</v>
      </c>
      <c r="M39" s="8">
        <f t="shared" si="1"/>
        <v>32.49</v>
      </c>
      <c r="N39" s="8">
        <v>136.11000000000001</v>
      </c>
      <c r="O39" s="8">
        <f>39.65+67.6</f>
        <v>107.25</v>
      </c>
      <c r="P39" s="8">
        <v>0</v>
      </c>
      <c r="Q39" s="8">
        <v>955.37</v>
      </c>
      <c r="R39" s="9">
        <f t="shared" si="2"/>
        <v>1466.37</v>
      </c>
      <c r="S39" s="9">
        <f t="shared" si="4"/>
        <v>1130.3600000000001</v>
      </c>
    </row>
    <row r="40" spans="1:19" x14ac:dyDescent="0.25">
      <c r="A40" s="10" t="s">
        <v>47</v>
      </c>
      <c r="B40" s="11" t="s">
        <v>48</v>
      </c>
      <c r="C40" s="7">
        <v>7197.28</v>
      </c>
      <c r="D40" s="8">
        <v>0</v>
      </c>
      <c r="E40" s="8">
        <v>0</v>
      </c>
      <c r="F40" s="8">
        <v>404.82</v>
      </c>
      <c r="G40" s="8">
        <v>0</v>
      </c>
      <c r="H40" s="8">
        <f>62.08+10.35</f>
        <v>72.429999999999993</v>
      </c>
      <c r="I40" s="14">
        <f t="shared" si="0"/>
        <v>7269.71</v>
      </c>
      <c r="J40" s="8">
        <v>621.03</v>
      </c>
      <c r="K40" s="8">
        <v>959.03</v>
      </c>
      <c r="L40" s="8">
        <v>0</v>
      </c>
      <c r="M40" s="19">
        <f>20.28+1.08</f>
        <v>21.36</v>
      </c>
      <c r="N40" s="8">
        <v>0</v>
      </c>
      <c r="O40" s="8">
        <v>51.99</v>
      </c>
      <c r="P40" s="8">
        <v>0</v>
      </c>
      <c r="Q40" s="8">
        <v>0</v>
      </c>
      <c r="R40" s="9">
        <f t="shared" si="2"/>
        <v>1653.4099999999999</v>
      </c>
      <c r="S40" s="9">
        <f t="shared" si="4"/>
        <v>5616.3</v>
      </c>
    </row>
    <row r="41" spans="1:19" x14ac:dyDescent="0.25">
      <c r="A41" s="10" t="s">
        <v>24</v>
      </c>
      <c r="B41" s="11" t="s">
        <v>64</v>
      </c>
      <c r="C41" s="7">
        <f>5464.33</f>
        <v>5464.33</v>
      </c>
      <c r="D41" s="8">
        <f>3099.55+1407.93+10.46+27.68+7.33</f>
        <v>4552.9500000000007</v>
      </c>
      <c r="E41" s="8">
        <f>1689.25+1078.77</f>
        <v>2768.02</v>
      </c>
      <c r="F41" s="8">
        <v>622.79999999999995</v>
      </c>
      <c r="G41" s="8">
        <v>0</v>
      </c>
      <c r="H41" s="8">
        <f>35.59+5.93</f>
        <v>41.52</v>
      </c>
      <c r="I41" s="14">
        <f t="shared" si="0"/>
        <v>12826.820000000002</v>
      </c>
      <c r="J41" s="8">
        <f>286.38+334.65</f>
        <v>621.03</v>
      </c>
      <c r="K41" s="8">
        <f>978.4</f>
        <v>978.4</v>
      </c>
      <c r="L41" s="8">
        <v>0</v>
      </c>
      <c r="M41" s="8">
        <f t="shared" si="1"/>
        <v>32.49</v>
      </c>
      <c r="N41" s="8">
        <v>0</v>
      </c>
      <c r="O41" s="8">
        <v>32.21</v>
      </c>
      <c r="P41" s="8">
        <v>0</v>
      </c>
      <c r="Q41" s="8">
        <v>5297.07</v>
      </c>
      <c r="R41" s="9">
        <f t="shared" si="2"/>
        <v>6961.2</v>
      </c>
      <c r="S41" s="9">
        <f t="shared" si="4"/>
        <v>5865.6200000000017</v>
      </c>
    </row>
    <row r="42" spans="1:19" x14ac:dyDescent="0.25">
      <c r="A42" s="10" t="s">
        <v>0</v>
      </c>
      <c r="B42" s="11" t="s">
        <v>49</v>
      </c>
      <c r="C42" s="7">
        <f>11395.69</f>
        <v>11395.69</v>
      </c>
      <c r="D42" s="8">
        <v>0</v>
      </c>
      <c r="E42" s="8">
        <v>0</v>
      </c>
      <c r="F42" s="8">
        <v>622.79999999999995</v>
      </c>
      <c r="G42" s="8">
        <v>0</v>
      </c>
      <c r="H42" s="8">
        <v>0</v>
      </c>
      <c r="I42" s="14">
        <f t="shared" si="0"/>
        <v>11395.69</v>
      </c>
      <c r="J42" s="8">
        <v>621.03</v>
      </c>
      <c r="K42" s="8">
        <v>2093.67</v>
      </c>
      <c r="L42" s="8">
        <v>0</v>
      </c>
      <c r="M42" s="8">
        <f t="shared" si="1"/>
        <v>32.49</v>
      </c>
      <c r="N42" s="8">
        <v>0</v>
      </c>
      <c r="O42" s="8">
        <f>126.92+39.65</f>
        <v>166.57</v>
      </c>
      <c r="P42" s="8">
        <v>0</v>
      </c>
      <c r="Q42" s="8">
        <v>0</v>
      </c>
      <c r="R42" s="9">
        <f t="shared" si="2"/>
        <v>2913.7599999999998</v>
      </c>
      <c r="S42" s="9">
        <f t="shared" si="4"/>
        <v>8481.93</v>
      </c>
    </row>
    <row r="43" spans="1:19" x14ac:dyDescent="0.25">
      <c r="A43" s="10" t="s">
        <v>26</v>
      </c>
      <c r="B43" s="11" t="s">
        <v>13</v>
      </c>
      <c r="C43" s="7">
        <f>5176.6+174.15</f>
        <v>5350.75</v>
      </c>
      <c r="D43" s="8">
        <f>3451.07+1156.03+4.92+9.68+1.61</f>
        <v>4623.3100000000004</v>
      </c>
      <c r="E43" s="8">
        <v>0</v>
      </c>
      <c r="F43" s="8">
        <v>622.79999999999995</v>
      </c>
      <c r="G43" s="8">
        <v>0</v>
      </c>
      <c r="H43" s="8">
        <f>35.59+5.93</f>
        <v>41.52</v>
      </c>
      <c r="I43" s="14">
        <f t="shared" si="0"/>
        <v>10015.580000000002</v>
      </c>
      <c r="J43" s="8">
        <f>124.21+496.82</f>
        <v>621.03</v>
      </c>
      <c r="K43" s="8">
        <f>582.46+549.4</f>
        <v>1131.8600000000001</v>
      </c>
      <c r="L43" s="8">
        <v>0</v>
      </c>
      <c r="M43" s="8">
        <f t="shared" si="1"/>
        <v>32.49</v>
      </c>
      <c r="N43" s="8">
        <v>0</v>
      </c>
      <c r="O43" s="8">
        <v>32.21</v>
      </c>
      <c r="P43" s="8">
        <v>0</v>
      </c>
      <c r="Q43" s="8">
        <v>3577.91</v>
      </c>
      <c r="R43" s="9">
        <f t="shared" si="2"/>
        <v>5395.5</v>
      </c>
      <c r="S43" s="9">
        <f t="shared" si="4"/>
        <v>4620.0800000000017</v>
      </c>
    </row>
    <row r="44" spans="1:19" x14ac:dyDescent="0.25">
      <c r="A44" s="10" t="s">
        <v>31</v>
      </c>
      <c r="B44" s="11" t="s">
        <v>11</v>
      </c>
      <c r="C44" s="7">
        <f>2383.35+48.48</f>
        <v>2431.83</v>
      </c>
      <c r="D44" s="8">
        <v>0</v>
      </c>
      <c r="E44" s="8">
        <v>0</v>
      </c>
      <c r="F44" s="8">
        <v>622.79999999999995</v>
      </c>
      <c r="G44" s="8">
        <v>0</v>
      </c>
      <c r="H44" s="8">
        <f>2.37+0.4</f>
        <v>2.77</v>
      </c>
      <c r="I44" s="14">
        <f t="shared" si="0"/>
        <v>2434.6</v>
      </c>
      <c r="J44" s="8">
        <v>219.11</v>
      </c>
      <c r="K44" s="8">
        <v>23.36</v>
      </c>
      <c r="L44" s="8">
        <v>0</v>
      </c>
      <c r="M44" s="8">
        <f t="shared" si="1"/>
        <v>32.49</v>
      </c>
      <c r="N44" s="8">
        <v>0</v>
      </c>
      <c r="O44" s="8">
        <f>28+79.3</f>
        <v>107.3</v>
      </c>
      <c r="P44" s="8">
        <v>0</v>
      </c>
      <c r="Q44" s="8">
        <v>0</v>
      </c>
      <c r="R44" s="9">
        <f t="shared" si="2"/>
        <v>382.26000000000005</v>
      </c>
      <c r="S44" s="9">
        <f t="shared" si="4"/>
        <v>2052.3399999999997</v>
      </c>
    </row>
    <row r="45" spans="1:19" x14ac:dyDescent="0.25">
      <c r="A45" s="10" t="s">
        <v>44</v>
      </c>
      <c r="B45" s="11" t="s">
        <v>45</v>
      </c>
      <c r="C45" s="7">
        <f>3469.71+106.24</f>
        <v>3575.95</v>
      </c>
      <c r="D45" s="8">
        <f>1699.68+569.45+3.19+3.92+0.2+1.36</f>
        <v>2277.8000000000002</v>
      </c>
      <c r="E45" s="8">
        <v>0</v>
      </c>
      <c r="F45" s="8">
        <v>622.79999999999995</v>
      </c>
      <c r="G45" s="8">
        <v>0</v>
      </c>
      <c r="H45" s="8">
        <v>0</v>
      </c>
      <c r="I45" s="14">
        <f t="shared" si="0"/>
        <v>5853.75</v>
      </c>
      <c r="J45" s="8">
        <f>416.03+205</f>
        <v>621.03</v>
      </c>
      <c r="K45" s="8">
        <v>119.19</v>
      </c>
      <c r="L45" s="8">
        <v>0</v>
      </c>
      <c r="M45" s="8">
        <f t="shared" si="1"/>
        <v>32.49</v>
      </c>
      <c r="N45" s="8">
        <v>0</v>
      </c>
      <c r="O45" s="8">
        <v>28</v>
      </c>
      <c r="P45" s="8">
        <v>0</v>
      </c>
      <c r="Q45" s="8">
        <v>2072.8000000000002</v>
      </c>
      <c r="R45" s="9">
        <f t="shared" si="2"/>
        <v>2873.51</v>
      </c>
      <c r="S45" s="9">
        <f t="shared" si="4"/>
        <v>2980.24</v>
      </c>
    </row>
    <row r="46" spans="1:19" x14ac:dyDescent="0.25">
      <c r="A46" s="10" t="s">
        <v>39</v>
      </c>
      <c r="B46" s="11" t="s">
        <v>13</v>
      </c>
      <c r="C46" s="7">
        <f>7464.84+168.67</f>
        <v>7633.51</v>
      </c>
      <c r="D46" s="8">
        <f>829.47+278.46+5.04+0.03+0.84</f>
        <v>1113.8399999999999</v>
      </c>
      <c r="E46" s="8">
        <v>0</v>
      </c>
      <c r="F46" s="8">
        <v>622.79999999999995</v>
      </c>
      <c r="G46" s="8">
        <v>0</v>
      </c>
      <c r="H46" s="8">
        <f>131.89+21.98</f>
        <v>153.86999999999998</v>
      </c>
      <c r="I46" s="14">
        <f t="shared" si="0"/>
        <v>8901.2200000000012</v>
      </c>
      <c r="J46" s="8">
        <f>498.51+122.52</f>
        <v>621.03</v>
      </c>
      <c r="K46" s="8">
        <f>1125.16+140.86</f>
        <v>1266.02</v>
      </c>
      <c r="L46" s="8">
        <v>36.08</v>
      </c>
      <c r="M46" s="8">
        <f t="shared" si="1"/>
        <v>32.49</v>
      </c>
      <c r="N46" s="8">
        <v>0</v>
      </c>
      <c r="O46" s="8">
        <v>0</v>
      </c>
      <c r="P46" s="8">
        <v>0</v>
      </c>
      <c r="Q46" s="8">
        <v>850.46</v>
      </c>
      <c r="R46" s="9">
        <f>J46+K46+L46+M46+N46+O46+Q46+123.35</f>
        <v>2929.43</v>
      </c>
      <c r="S46" s="9">
        <f t="shared" si="4"/>
        <v>5971.7900000000009</v>
      </c>
    </row>
    <row r="47" spans="1:19" x14ac:dyDescent="0.25">
      <c r="A47" s="10" t="s">
        <v>14</v>
      </c>
      <c r="B47" s="11" t="s">
        <v>13</v>
      </c>
      <c r="C47" s="7">
        <f>8627.67+174.94</f>
        <v>8802.61</v>
      </c>
      <c r="D47" s="8">
        <v>0</v>
      </c>
      <c r="E47" s="8">
        <v>0</v>
      </c>
      <c r="F47" s="8">
        <v>373.68</v>
      </c>
      <c r="G47" s="8">
        <v>0</v>
      </c>
      <c r="H47" s="8">
        <f>4.4+209.01+35.57</f>
        <v>248.98</v>
      </c>
      <c r="I47" s="14">
        <f t="shared" si="0"/>
        <v>9051.59</v>
      </c>
      <c r="J47" s="8">
        <v>621.03</v>
      </c>
      <c r="K47" s="8">
        <v>1449.04</v>
      </c>
      <c r="L47" s="8">
        <v>0</v>
      </c>
      <c r="M47" s="19">
        <f>18.72+1.05</f>
        <v>19.77</v>
      </c>
      <c r="N47" s="8">
        <v>0</v>
      </c>
      <c r="O47" s="8">
        <v>0</v>
      </c>
      <c r="P47" s="8">
        <v>0</v>
      </c>
      <c r="Q47" s="8">
        <v>0</v>
      </c>
      <c r="R47" s="9">
        <f>J47+K47+L47+M47+N47+O47+Q47+501.73</f>
        <v>2591.5699999999997</v>
      </c>
      <c r="S47" s="9">
        <f t="shared" si="4"/>
        <v>6460.02</v>
      </c>
    </row>
    <row r="48" spans="1:19" x14ac:dyDescent="0.25">
      <c r="A48" s="10" t="s">
        <v>82</v>
      </c>
      <c r="B48" s="11" t="s">
        <v>11</v>
      </c>
      <c r="C48" s="7">
        <f>2268.55+45.8</f>
        <v>2314.3500000000004</v>
      </c>
      <c r="D48" s="8">
        <v>0</v>
      </c>
      <c r="E48" s="8">
        <v>0</v>
      </c>
      <c r="F48" s="8">
        <v>622.79999999999995</v>
      </c>
      <c r="G48" s="8">
        <v>0</v>
      </c>
      <c r="H48" s="8">
        <v>0</v>
      </c>
      <c r="I48" s="14">
        <f t="shared" si="0"/>
        <v>2314.3500000000004</v>
      </c>
      <c r="J48" s="8">
        <v>194.58</v>
      </c>
      <c r="K48" s="8">
        <v>0</v>
      </c>
      <c r="L48" s="8">
        <f>76.66+75.62</f>
        <v>152.28</v>
      </c>
      <c r="M48" s="8">
        <f t="shared" si="1"/>
        <v>32.49</v>
      </c>
      <c r="N48" s="8">
        <v>0</v>
      </c>
      <c r="O48" s="8">
        <f>126.92+128.87</f>
        <v>255.79000000000002</v>
      </c>
      <c r="P48" s="8">
        <v>0</v>
      </c>
      <c r="Q48" s="8">
        <v>0</v>
      </c>
      <c r="R48" s="9">
        <f t="shared" si="2"/>
        <v>635.1400000000001</v>
      </c>
      <c r="S48" s="9">
        <f t="shared" si="4"/>
        <v>1679.2100000000003</v>
      </c>
    </row>
    <row r="49" spans="1:19" ht="15.75" customHeight="1" x14ac:dyDescent="0.25">
      <c r="A49" s="10" t="s">
        <v>38</v>
      </c>
      <c r="B49" s="11" t="s">
        <v>96</v>
      </c>
      <c r="C49" s="7">
        <f>1298.33</f>
        <v>1298.33</v>
      </c>
      <c r="D49" s="8">
        <f>972.83+347.18+22.91+34.26+0.53+11</f>
        <v>1388.71</v>
      </c>
      <c r="E49" s="8">
        <v>1307.4000000000001</v>
      </c>
      <c r="F49" s="8">
        <v>622.79999999999995</v>
      </c>
      <c r="G49" s="8">
        <v>484.2</v>
      </c>
      <c r="H49" s="8">
        <v>0</v>
      </c>
      <c r="I49" s="14">
        <f t="shared" si="0"/>
        <v>3994.44</v>
      </c>
      <c r="J49" s="8">
        <f>328.29+111.09</f>
        <v>439.38</v>
      </c>
      <c r="K49" s="8">
        <v>28.01</v>
      </c>
      <c r="L49" s="8">
        <v>0</v>
      </c>
      <c r="M49" s="8">
        <f t="shared" si="1"/>
        <v>32.49</v>
      </c>
      <c r="N49" s="8">
        <v>137.47</v>
      </c>
      <c r="O49" s="8">
        <v>28</v>
      </c>
      <c r="P49" s="8">
        <v>0</v>
      </c>
      <c r="Q49" s="8">
        <v>1277.6199999999999</v>
      </c>
      <c r="R49" s="9">
        <f t="shared" si="2"/>
        <v>1942.9699999999998</v>
      </c>
      <c r="S49" s="9">
        <f t="shared" si="4"/>
        <v>2051.4700000000003</v>
      </c>
    </row>
    <row r="50" spans="1:19" ht="15.75" customHeight="1" x14ac:dyDescent="0.25">
      <c r="A50" s="10" t="s">
        <v>94</v>
      </c>
      <c r="B50" s="11" t="s">
        <v>11</v>
      </c>
      <c r="C50" s="7">
        <v>446.56</v>
      </c>
      <c r="D50" s="8">
        <v>0</v>
      </c>
      <c r="E50" s="8">
        <v>0</v>
      </c>
      <c r="F50" s="8">
        <v>622.79999999999995</v>
      </c>
      <c r="G50" s="8">
        <v>0</v>
      </c>
      <c r="H50" s="8">
        <v>0</v>
      </c>
      <c r="I50" s="14">
        <f t="shared" si="0"/>
        <v>446.56</v>
      </c>
      <c r="J50" s="8">
        <v>35.72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f t="shared" si="2"/>
        <v>35.72</v>
      </c>
      <c r="S50" s="9">
        <f t="shared" si="4"/>
        <v>410.84000000000003</v>
      </c>
    </row>
    <row r="51" spans="1:19" x14ac:dyDescent="0.25">
      <c r="A51" s="10" t="s">
        <v>36</v>
      </c>
      <c r="B51" s="11" t="s">
        <v>11</v>
      </c>
      <c r="C51" s="7">
        <v>2383.35</v>
      </c>
      <c r="D51" s="8">
        <v>0</v>
      </c>
      <c r="E51" s="8">
        <v>1215.29</v>
      </c>
      <c r="F51" s="8">
        <v>622.79999999999995</v>
      </c>
      <c r="G51" s="8">
        <v>0</v>
      </c>
      <c r="H51" s="8">
        <f>8.94+1.49</f>
        <v>10.43</v>
      </c>
      <c r="I51" s="14">
        <f t="shared" si="0"/>
        <v>3609.0699999999997</v>
      </c>
      <c r="J51" s="8">
        <v>396.99</v>
      </c>
      <c r="K51" s="8">
        <v>127.01</v>
      </c>
      <c r="L51" s="8">
        <v>0</v>
      </c>
      <c r="M51" s="8">
        <f t="shared" si="1"/>
        <v>32.49</v>
      </c>
      <c r="N51" s="8">
        <v>0</v>
      </c>
      <c r="O51" s="8">
        <v>28</v>
      </c>
      <c r="P51" s="8">
        <v>0</v>
      </c>
      <c r="Q51" s="8">
        <v>0</v>
      </c>
      <c r="R51" s="9">
        <f t="shared" si="2"/>
        <v>584.49</v>
      </c>
      <c r="S51" s="9">
        <f t="shared" si="4"/>
        <v>3024.58</v>
      </c>
    </row>
    <row r="52" spans="1:19" x14ac:dyDescent="0.25">
      <c r="A52" s="10" t="s">
        <v>22</v>
      </c>
      <c r="B52" s="11" t="s">
        <v>66</v>
      </c>
      <c r="C52" s="7">
        <v>2383.35</v>
      </c>
      <c r="D52" s="8">
        <v>0</v>
      </c>
      <c r="E52" s="8">
        <v>4813.93</v>
      </c>
      <c r="F52" s="8">
        <v>622.79999999999995</v>
      </c>
      <c r="G52" s="8">
        <v>0</v>
      </c>
      <c r="H52" s="8">
        <f>8.05+1.34</f>
        <v>9.39</v>
      </c>
      <c r="I52" s="14">
        <f t="shared" si="0"/>
        <v>7206.670000000001</v>
      </c>
      <c r="J52" s="8">
        <v>621.03</v>
      </c>
      <c r="K52" s="8">
        <v>941.69</v>
      </c>
      <c r="L52" s="8">
        <v>0</v>
      </c>
      <c r="M52" s="8">
        <f t="shared" si="1"/>
        <v>32.49</v>
      </c>
      <c r="N52" s="8">
        <v>0</v>
      </c>
      <c r="O52" s="8">
        <v>0</v>
      </c>
      <c r="P52" s="8">
        <v>0</v>
      </c>
      <c r="Q52" s="8">
        <v>0</v>
      </c>
      <c r="R52" s="9">
        <f t="shared" si="2"/>
        <v>1595.21</v>
      </c>
      <c r="S52" s="9">
        <f t="shared" si="4"/>
        <v>5611.4600000000009</v>
      </c>
    </row>
    <row r="53" spans="1:19" x14ac:dyDescent="0.25">
      <c r="A53" s="10" t="s">
        <v>54</v>
      </c>
      <c r="B53" s="11" t="s">
        <v>7</v>
      </c>
      <c r="C53" s="7">
        <f>5204.31+105.23</f>
        <v>5309.54</v>
      </c>
      <c r="D53" s="8">
        <v>0</v>
      </c>
      <c r="E53" s="8">
        <v>0</v>
      </c>
      <c r="F53" s="8">
        <v>622.79999999999995</v>
      </c>
      <c r="G53" s="8">
        <v>0</v>
      </c>
      <c r="H53" s="8">
        <f>24.98+4.16</f>
        <v>29.14</v>
      </c>
      <c r="I53" s="14">
        <f t="shared" si="0"/>
        <v>5338.68</v>
      </c>
      <c r="J53" s="8">
        <v>587.25</v>
      </c>
      <c r="K53" s="8">
        <v>437.28</v>
      </c>
      <c r="L53" s="8">
        <v>0</v>
      </c>
      <c r="M53" s="8">
        <f t="shared" si="1"/>
        <v>32.49</v>
      </c>
      <c r="N53" s="8">
        <v>0</v>
      </c>
      <c r="O53" s="8">
        <f>32.21+79.3</f>
        <v>111.50999999999999</v>
      </c>
      <c r="P53" s="8">
        <v>0</v>
      </c>
      <c r="Q53" s="8">
        <v>0</v>
      </c>
      <c r="R53" s="9">
        <f t="shared" si="2"/>
        <v>1168.53</v>
      </c>
      <c r="S53" s="9">
        <f t="shared" si="4"/>
        <v>4170.1500000000005</v>
      </c>
    </row>
    <row r="54" spans="1:19" x14ac:dyDescent="0.25">
      <c r="A54" s="10" t="s">
        <v>59</v>
      </c>
      <c r="B54" s="11" t="s">
        <v>11</v>
      </c>
      <c r="C54" s="7">
        <f>2268.55+46.02</f>
        <v>2314.5700000000002</v>
      </c>
      <c r="D54" s="8">
        <v>0</v>
      </c>
      <c r="E54" s="8">
        <v>0</v>
      </c>
      <c r="F54" s="8">
        <v>622.79999999999995</v>
      </c>
      <c r="G54" s="8">
        <v>0</v>
      </c>
      <c r="H54" s="8">
        <v>0</v>
      </c>
      <c r="I54" s="14">
        <f t="shared" si="0"/>
        <v>2314.5700000000002</v>
      </c>
      <c r="J54" s="8">
        <v>208.31</v>
      </c>
      <c r="K54" s="8">
        <v>15.17</v>
      </c>
      <c r="L54" s="8">
        <v>0</v>
      </c>
      <c r="M54" s="8">
        <f t="shared" si="1"/>
        <v>32.49</v>
      </c>
      <c r="N54" s="8">
        <v>0</v>
      </c>
      <c r="O54" s="8">
        <f>67.6+89.22</f>
        <v>156.82</v>
      </c>
      <c r="P54" s="8">
        <v>0</v>
      </c>
      <c r="Q54" s="8">
        <v>0</v>
      </c>
      <c r="R54" s="9">
        <f t="shared" si="2"/>
        <v>412.78999999999996</v>
      </c>
      <c r="S54" s="9">
        <f t="shared" si="4"/>
        <v>1901.7800000000002</v>
      </c>
    </row>
    <row r="55" spans="1:19" x14ac:dyDescent="0.25">
      <c r="A55" s="10" t="s">
        <v>60</v>
      </c>
      <c r="B55" s="11" t="s">
        <v>63</v>
      </c>
      <c r="C55" s="7">
        <v>6569.72</v>
      </c>
      <c r="D55" s="8">
        <f>1642.43+1193.6+34.49+23.81+1.08+9.72</f>
        <v>2905.1299999999992</v>
      </c>
      <c r="E55" s="8">
        <f>1869.29+4418.56</f>
        <v>6287.85</v>
      </c>
      <c r="F55" s="8">
        <v>560.52</v>
      </c>
      <c r="G55" s="8">
        <v>792.9</v>
      </c>
      <c r="H55" s="8">
        <v>0</v>
      </c>
      <c r="I55" s="14">
        <f t="shared" si="0"/>
        <v>15762.699999999999</v>
      </c>
      <c r="J55" s="8">
        <f>95.85+525.18</f>
        <v>621.03</v>
      </c>
      <c r="K55" s="8">
        <f>2126.06+319.95</f>
        <v>2446.0099999999998</v>
      </c>
      <c r="L55" s="8">
        <v>0</v>
      </c>
      <c r="M55" s="19">
        <f>1.23+28.08</f>
        <v>29.31</v>
      </c>
      <c r="N55" s="8">
        <v>492.73</v>
      </c>
      <c r="O55" s="8">
        <v>42.97</v>
      </c>
      <c r="P55" s="8">
        <v>0</v>
      </c>
      <c r="Q55" s="8">
        <v>3929.29</v>
      </c>
      <c r="R55" s="9">
        <f>J55+K55+L55+M55+N55+O55+Q55</f>
        <v>7561.34</v>
      </c>
      <c r="S55" s="15">
        <f>((I55-R55)+P55)</f>
        <v>8201.3599999999988</v>
      </c>
    </row>
    <row r="56" spans="1:19" x14ac:dyDescent="0.25">
      <c r="A56" s="10" t="s">
        <v>35</v>
      </c>
      <c r="B56" s="11" t="s">
        <v>65</v>
      </c>
      <c r="C56" s="7">
        <v>2383.35</v>
      </c>
      <c r="D56" s="8">
        <v>0</v>
      </c>
      <c r="E56" s="8">
        <v>1215.29</v>
      </c>
      <c r="F56" s="8">
        <v>622.79999999999995</v>
      </c>
      <c r="G56" s="8">
        <v>340.2</v>
      </c>
      <c r="H56" s="8">
        <v>0</v>
      </c>
      <c r="I56" s="14">
        <f t="shared" si="0"/>
        <v>3598.64</v>
      </c>
      <c r="J56" s="8">
        <v>395.85</v>
      </c>
      <c r="K56" s="8">
        <v>125.62</v>
      </c>
      <c r="L56" s="8">
        <v>0</v>
      </c>
      <c r="M56" s="8">
        <f t="shared" si="1"/>
        <v>32.49</v>
      </c>
      <c r="N56" s="8">
        <v>143</v>
      </c>
      <c r="O56" s="8">
        <f>28+49.57</f>
        <v>77.569999999999993</v>
      </c>
      <c r="P56" s="8">
        <v>0</v>
      </c>
      <c r="Q56" s="8">
        <v>0</v>
      </c>
      <c r="R56" s="9">
        <f t="shared" si="2"/>
        <v>774.53</v>
      </c>
      <c r="S56" s="9">
        <f t="shared" si="4"/>
        <v>2824.1099999999997</v>
      </c>
    </row>
    <row r="57" spans="1:19" x14ac:dyDescent="0.25">
      <c r="A57" s="10" t="s">
        <v>33</v>
      </c>
      <c r="B57" s="11" t="s">
        <v>69</v>
      </c>
      <c r="C57" s="7">
        <v>2383.35</v>
      </c>
      <c r="D57" s="8">
        <v>0</v>
      </c>
      <c r="E57" s="8">
        <v>1215.29</v>
      </c>
      <c r="F57" s="8">
        <v>622.79999999999995</v>
      </c>
      <c r="G57" s="8">
        <v>0</v>
      </c>
      <c r="H57" s="8">
        <v>0</v>
      </c>
      <c r="I57" s="14">
        <f t="shared" si="0"/>
        <v>3598.64</v>
      </c>
      <c r="J57" s="8">
        <v>395.85</v>
      </c>
      <c r="K57" s="8">
        <v>125.62</v>
      </c>
      <c r="L57" s="8">
        <v>0</v>
      </c>
      <c r="M57" s="8">
        <f t="shared" si="1"/>
        <v>32.49</v>
      </c>
      <c r="N57" s="8">
        <v>0</v>
      </c>
      <c r="O57" s="8">
        <v>32.21</v>
      </c>
      <c r="P57" s="8">
        <v>0</v>
      </c>
      <c r="Q57" s="8">
        <v>0</v>
      </c>
      <c r="R57" s="9">
        <f t="shared" si="2"/>
        <v>586.17000000000007</v>
      </c>
      <c r="S57" s="9">
        <f t="shared" si="4"/>
        <v>3012.47</v>
      </c>
    </row>
    <row r="58" spans="1:19" x14ac:dyDescent="0.25">
      <c r="A58" s="10" t="s">
        <v>46</v>
      </c>
      <c r="B58" s="11" t="s">
        <v>69</v>
      </c>
      <c r="C58" s="7">
        <v>2268.5500000000002</v>
      </c>
      <c r="D58" s="8">
        <v>0</v>
      </c>
      <c r="E58" s="8">
        <f>1330.09+221.7</f>
        <v>1551.79</v>
      </c>
      <c r="F58" s="8">
        <v>622.79999999999995</v>
      </c>
      <c r="G58" s="8">
        <v>207</v>
      </c>
      <c r="H58" s="8">
        <v>0</v>
      </c>
      <c r="I58" s="14">
        <f t="shared" si="0"/>
        <v>3820.34</v>
      </c>
      <c r="J58" s="8">
        <v>420.23</v>
      </c>
      <c r="K58" s="8">
        <v>155.22</v>
      </c>
      <c r="L58" s="8">
        <v>0</v>
      </c>
      <c r="M58" s="8">
        <f t="shared" si="1"/>
        <v>32.49</v>
      </c>
      <c r="N58" s="8">
        <v>136.11000000000001</v>
      </c>
      <c r="O58" s="8">
        <f>28+79.3</f>
        <v>107.3</v>
      </c>
      <c r="P58" s="8">
        <v>0</v>
      </c>
      <c r="Q58" s="8">
        <v>0</v>
      </c>
      <c r="R58" s="9">
        <f t="shared" si="2"/>
        <v>851.35</v>
      </c>
      <c r="S58" s="9">
        <f t="shared" si="4"/>
        <v>2968.9900000000002</v>
      </c>
    </row>
    <row r="59" spans="1:19" x14ac:dyDescent="0.25">
      <c r="A59" s="10" t="s">
        <v>23</v>
      </c>
      <c r="B59" s="11" t="s">
        <v>97</v>
      </c>
      <c r="C59" s="7">
        <v>5467.66</v>
      </c>
      <c r="D59" s="8">
        <v>0</v>
      </c>
      <c r="E59" s="8">
        <v>1729.62</v>
      </c>
      <c r="F59" s="8">
        <v>622.79999999999995</v>
      </c>
      <c r="G59" s="8">
        <v>0</v>
      </c>
      <c r="H59" s="8">
        <v>0</v>
      </c>
      <c r="I59" s="14">
        <f t="shared" si="0"/>
        <v>7197.28</v>
      </c>
      <c r="J59" s="8">
        <v>621.03</v>
      </c>
      <c r="K59" s="8">
        <v>930.31</v>
      </c>
      <c r="L59" s="8">
        <v>31.99</v>
      </c>
      <c r="M59" s="8">
        <f t="shared" si="1"/>
        <v>32.49</v>
      </c>
      <c r="N59" s="8">
        <v>0</v>
      </c>
      <c r="O59" s="8">
        <f>28+89.22</f>
        <v>117.22</v>
      </c>
      <c r="P59" s="8">
        <v>0</v>
      </c>
      <c r="Q59" s="8">
        <v>0</v>
      </c>
      <c r="R59" s="9">
        <f t="shared" si="2"/>
        <v>1733.04</v>
      </c>
      <c r="S59" s="9">
        <f t="shared" si="4"/>
        <v>5464.24</v>
      </c>
    </row>
    <row r="60" spans="1:19" x14ac:dyDescent="0.25">
      <c r="A60" s="18" t="s">
        <v>91</v>
      </c>
      <c r="B60" s="18"/>
      <c r="C60" s="12">
        <f>SUM(C6:C59)</f>
        <v>235700.4</v>
      </c>
      <c r="D60" s="13">
        <f>SUM(D6:D59)</f>
        <v>31379.200000000004</v>
      </c>
      <c r="E60" s="13">
        <f>SUM(E6:E59)</f>
        <v>37975.130000000005</v>
      </c>
      <c r="F60" s="12">
        <f t="shared" ref="F60:S60" si="5">SUM(F6:F59)</f>
        <v>32852.699999999975</v>
      </c>
      <c r="G60" s="13">
        <f t="shared" si="5"/>
        <v>4179.5999999999995</v>
      </c>
      <c r="H60" s="13">
        <f t="shared" si="5"/>
        <v>2633.5999999999995</v>
      </c>
      <c r="I60" s="12">
        <f t="shared" si="5"/>
        <v>307688.33000000013</v>
      </c>
      <c r="J60" s="13">
        <f t="shared" si="5"/>
        <v>23452.800000000003</v>
      </c>
      <c r="K60" s="13">
        <f t="shared" si="5"/>
        <v>33053.869999999988</v>
      </c>
      <c r="L60" s="12">
        <f t="shared" si="5"/>
        <v>392.28999999999996</v>
      </c>
      <c r="M60" s="13">
        <f t="shared" si="5"/>
        <v>1597.4700000000003</v>
      </c>
      <c r="N60" s="13">
        <f t="shared" si="5"/>
        <v>2635.8000000000006</v>
      </c>
      <c r="O60" s="12">
        <f t="shared" si="5"/>
        <v>3758.99</v>
      </c>
      <c r="P60" s="13">
        <f t="shared" si="5"/>
        <v>1218.95</v>
      </c>
      <c r="Q60" s="13">
        <f t="shared" si="5"/>
        <v>28988.81</v>
      </c>
      <c r="R60" s="12">
        <f t="shared" si="5"/>
        <v>96955.68</v>
      </c>
      <c r="S60" s="13">
        <f t="shared" si="5"/>
        <v>211951.59999999995</v>
      </c>
    </row>
  </sheetData>
  <mergeCells count="3">
    <mergeCell ref="A3:S3"/>
    <mergeCell ref="A4:S4"/>
    <mergeCell ref="A60:B60"/>
  </mergeCells>
  <pageMargins left="0.25" right="0.25" top="0.75" bottom="0.75" header="0.3" footer="0.3"/>
  <pageSetup paperSize="9"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2018-02-05T18:44:38Z</cp:lastPrinted>
  <dcterms:created xsi:type="dcterms:W3CDTF">2015-04-01T12:17:47Z</dcterms:created>
  <dcterms:modified xsi:type="dcterms:W3CDTF">2018-08-09T19:01:49Z</dcterms:modified>
</cp:coreProperties>
</file>