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Portal Transparência\2018\"/>
    </mc:Choice>
  </mc:AlternateContent>
  <bookViews>
    <workbookView xWindow="-15" yWindow="345" windowWidth="28830" windowHeight="12495"/>
  </bookViews>
  <sheets>
    <sheet name="AGOSTO 2018" sheetId="28" r:id="rId1"/>
  </sheets>
  <calcPr calcId="152511"/>
</workbook>
</file>

<file path=xl/calcChain.xml><?xml version="1.0" encoding="utf-8"?>
<calcChain xmlns="http://schemas.openxmlformats.org/spreadsheetml/2006/main">
  <c r="H56" i="28" l="1"/>
  <c r="H54" i="28"/>
  <c r="O50" i="28"/>
  <c r="L50" i="28"/>
  <c r="O45" i="28"/>
  <c r="J45" i="28"/>
  <c r="D45" i="28"/>
  <c r="R39" i="28"/>
  <c r="O39" i="28"/>
  <c r="J39" i="28"/>
  <c r="H39" i="28"/>
  <c r="D39" i="28"/>
  <c r="J31" i="28"/>
  <c r="D31" i="28"/>
  <c r="O25" i="28"/>
  <c r="H25" i="28"/>
  <c r="O58" i="28"/>
  <c r="H58" i="28"/>
  <c r="O53" i="28"/>
  <c r="H53" i="28"/>
  <c r="J49" i="28"/>
  <c r="H49" i="28"/>
  <c r="D49" i="28"/>
  <c r="O43" i="28"/>
  <c r="C43" i="28"/>
  <c r="H36" i="28"/>
  <c r="O34" i="28"/>
  <c r="H34" i="28"/>
  <c r="O18" i="28"/>
  <c r="O19" i="28"/>
  <c r="H18" i="28"/>
  <c r="O14" i="28"/>
  <c r="J14" i="28"/>
  <c r="D14" i="28"/>
  <c r="C14" i="28"/>
  <c r="O9" i="28"/>
  <c r="O8" i="28"/>
  <c r="H8" i="28"/>
  <c r="O61" i="28" l="1"/>
  <c r="J61" i="28"/>
  <c r="D61" i="28"/>
  <c r="O60" i="28"/>
  <c r="H59" i="28"/>
  <c r="O55" i="28"/>
  <c r="H55" i="28"/>
  <c r="L48" i="28"/>
  <c r="H48" i="28"/>
  <c r="O47" i="28"/>
  <c r="H47" i="28"/>
  <c r="O46" i="28"/>
  <c r="H46" i="28"/>
  <c r="O44" i="28"/>
  <c r="K42" i="28"/>
  <c r="J42" i="28"/>
  <c r="H42" i="28"/>
  <c r="D42" i="28"/>
  <c r="O41" i="28"/>
  <c r="H40" i="28"/>
  <c r="L38" i="28"/>
  <c r="H38" i="28"/>
  <c r="R35" i="28"/>
  <c r="O35" i="28"/>
  <c r="L35" i="28"/>
  <c r="H35" i="28"/>
  <c r="O33" i="28"/>
  <c r="O32" i="28"/>
  <c r="H32" i="28"/>
  <c r="O29" i="28"/>
  <c r="H29" i="28"/>
  <c r="H28" i="28"/>
  <c r="C28" i="28"/>
  <c r="O27" i="28"/>
  <c r="N26" i="28"/>
  <c r="H26" i="28"/>
  <c r="O22" i="28"/>
  <c r="H22" i="28"/>
  <c r="O21" i="28"/>
  <c r="O20" i="28" l="1"/>
  <c r="L19" i="28"/>
  <c r="O17" i="28"/>
  <c r="K17" i="28"/>
  <c r="J17" i="28"/>
  <c r="D17" i="28"/>
  <c r="O16" i="28"/>
  <c r="H15" i="28"/>
  <c r="R13" i="28"/>
  <c r="O13" i="28"/>
  <c r="O12" i="28"/>
  <c r="H12" i="28"/>
  <c r="R11" i="28"/>
  <c r="O11" i="28"/>
  <c r="L11" i="28"/>
  <c r="K11" i="28"/>
  <c r="J11" i="28"/>
  <c r="C11" i="28"/>
  <c r="D11" i="28"/>
  <c r="H10" i="28"/>
  <c r="O7" i="28"/>
  <c r="Q62" i="28" l="1"/>
  <c r="P62" i="28"/>
  <c r="N62" i="28"/>
  <c r="M62" i="28"/>
  <c r="G62" i="28"/>
  <c r="F62" i="28"/>
  <c r="E62" i="28"/>
  <c r="C62" i="28"/>
  <c r="R61" i="28"/>
  <c r="I61" i="28"/>
  <c r="R60" i="28"/>
  <c r="I60" i="28"/>
  <c r="R59" i="28"/>
  <c r="I59" i="28"/>
  <c r="S59" i="28" s="1"/>
  <c r="R58" i="28"/>
  <c r="I58" i="28"/>
  <c r="J57" i="28"/>
  <c r="R57" i="28" s="1"/>
  <c r="I57" i="28"/>
  <c r="R56" i="28"/>
  <c r="I56" i="28"/>
  <c r="R55" i="28"/>
  <c r="I55" i="28"/>
  <c r="R54" i="28"/>
  <c r="I54" i="28"/>
  <c r="R53" i="28"/>
  <c r="I53" i="28"/>
  <c r="S53" i="28" s="1"/>
  <c r="R52" i="28"/>
  <c r="I52" i="28"/>
  <c r="R51" i="28"/>
  <c r="I51" i="28"/>
  <c r="R50" i="28"/>
  <c r="I50" i="28"/>
  <c r="R49" i="28"/>
  <c r="I49" i="28"/>
  <c r="R48" i="28"/>
  <c r="I48" i="28"/>
  <c r="R47" i="28"/>
  <c r="I47" i="28"/>
  <c r="R46" i="28"/>
  <c r="I46" i="28"/>
  <c r="R45" i="28"/>
  <c r="I45" i="28"/>
  <c r="J44" i="28"/>
  <c r="R44" i="28" s="1"/>
  <c r="I44" i="28"/>
  <c r="R43" i="28"/>
  <c r="J43" i="28"/>
  <c r="I43" i="28"/>
  <c r="R42" i="28"/>
  <c r="I42" i="28"/>
  <c r="R41" i="28"/>
  <c r="I41" i="28"/>
  <c r="R40" i="28"/>
  <c r="I40" i="28"/>
  <c r="I39" i="28"/>
  <c r="R38" i="28"/>
  <c r="I38" i="28"/>
  <c r="R37" i="28"/>
  <c r="I37" i="28"/>
  <c r="R36" i="28"/>
  <c r="I36" i="28"/>
  <c r="I35" i="28"/>
  <c r="R34" i="28"/>
  <c r="J34" i="28"/>
  <c r="I34" i="28"/>
  <c r="R33" i="28"/>
  <c r="S33" i="28" s="1"/>
  <c r="I33" i="28"/>
  <c r="R32" i="28"/>
  <c r="I32" i="28"/>
  <c r="R31" i="28"/>
  <c r="I31" i="28"/>
  <c r="R30" i="28"/>
  <c r="S30" i="28" s="1"/>
  <c r="I30" i="28"/>
  <c r="R29" i="28"/>
  <c r="I29" i="28"/>
  <c r="R28" i="28"/>
  <c r="I28" i="28"/>
  <c r="S28" i="28" s="1"/>
  <c r="R27" i="28"/>
  <c r="S27" i="28" s="1"/>
  <c r="I27" i="28"/>
  <c r="R26" i="28"/>
  <c r="I26" i="28"/>
  <c r="R25" i="28"/>
  <c r="I25" i="28"/>
  <c r="R24" i="28"/>
  <c r="I24" i="28"/>
  <c r="R23" i="28"/>
  <c r="I23" i="28"/>
  <c r="R22" i="28"/>
  <c r="I22" i="28"/>
  <c r="R21" i="28"/>
  <c r="I21" i="28"/>
  <c r="R20" i="28"/>
  <c r="I20" i="28"/>
  <c r="R19" i="28"/>
  <c r="I19" i="28"/>
  <c r="R18" i="28"/>
  <c r="I18" i="28"/>
  <c r="R17" i="28"/>
  <c r="I17" i="28"/>
  <c r="R16" i="28"/>
  <c r="J16" i="28"/>
  <c r="I16" i="28"/>
  <c r="R15" i="28"/>
  <c r="I15" i="28"/>
  <c r="K62" i="28"/>
  <c r="D62" i="28"/>
  <c r="J13" i="28"/>
  <c r="I13" i="28"/>
  <c r="R12" i="28"/>
  <c r="I12" i="28"/>
  <c r="I11" i="28"/>
  <c r="R10" i="28"/>
  <c r="I10" i="28"/>
  <c r="R9" i="28"/>
  <c r="I9" i="28"/>
  <c r="R8" i="28"/>
  <c r="J8" i="28"/>
  <c r="I8" i="28"/>
  <c r="O62" i="28"/>
  <c r="J7" i="28"/>
  <c r="J62" i="28" s="1"/>
  <c r="I7" i="28"/>
  <c r="R6" i="28"/>
  <c r="I6" i="28"/>
  <c r="S56" i="28" l="1"/>
  <c r="S50" i="28"/>
  <c r="S39" i="28"/>
  <c r="S31" i="28"/>
  <c r="S43" i="28"/>
  <c r="S61" i="28"/>
  <c r="S51" i="28"/>
  <c r="S48" i="28"/>
  <c r="S10" i="28"/>
  <c r="S13" i="28"/>
  <c r="S23" i="28"/>
  <c r="S38" i="28"/>
  <c r="S55" i="28"/>
  <c r="S15" i="28"/>
  <c r="S6" i="28"/>
  <c r="S12" i="28"/>
  <c r="S16" i="28"/>
  <c r="S20" i="28"/>
  <c r="S29" i="28"/>
  <c r="S32" i="28"/>
  <c r="S44" i="28"/>
  <c r="S57" i="28"/>
  <c r="S19" i="28"/>
  <c r="S24" i="28"/>
  <c r="S37" i="28"/>
  <c r="S40" i="28"/>
  <c r="S42" i="28"/>
  <c r="S47" i="28"/>
  <c r="S49" i="28"/>
  <c r="S52" i="28"/>
  <c r="S54" i="28"/>
  <c r="S35" i="28"/>
  <c r="S26" i="28"/>
  <c r="S25" i="28"/>
  <c r="S36" i="28"/>
  <c r="S17" i="28"/>
  <c r="S45" i="28"/>
  <c r="S8" i="28"/>
  <c r="S9" i="28"/>
  <c r="S18" i="28"/>
  <c r="S22" i="28"/>
  <c r="S58" i="28"/>
  <c r="S60" i="28"/>
  <c r="S11" i="28"/>
  <c r="S21" i="28"/>
  <c r="S34" i="28"/>
  <c r="S41" i="28"/>
  <c r="S46" i="28"/>
  <c r="H62" i="28"/>
  <c r="I14" i="28"/>
  <c r="I62" i="28" s="1"/>
  <c r="R14" i="28"/>
  <c r="L62" i="28"/>
  <c r="R7" i="28"/>
  <c r="S7" i="28" s="1"/>
  <c r="R62" i="28" l="1"/>
  <c r="S14" i="28"/>
  <c r="S62" i="28" s="1"/>
</calcChain>
</file>

<file path=xl/sharedStrings.xml><?xml version="1.0" encoding="utf-8"?>
<sst xmlns="http://schemas.openxmlformats.org/spreadsheetml/2006/main" count="133" uniqueCount="104">
  <si>
    <t>Marindia Izabel Girardello</t>
  </si>
  <si>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</si>
  <si>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</si>
  <si>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</si>
  <si>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</si>
  <si>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</si>
  <si>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</si>
  <si>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</si>
  <si>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</si>
  <si>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</si>
  <si>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</si>
  <si>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</si>
  <si>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</si>
  <si>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</si>
  <si>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</si>
  <si>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</si>
  <si>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</si>
  <si>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</si>
  <si>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</si>
  <si>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</si>
  <si>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</si>
  <si>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Simone Nunes Perotto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</si>
  <si>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</si>
  <si>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</si>
  <si>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</si>
  <si>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</si>
  <si>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</si>
  <si>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</si>
  <si>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</si>
  <si>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</si>
  <si>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</si>
  <si>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</si>
  <si>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</si>
  <si>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</si>
  <si>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</si>
  <si>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</si>
  <si>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</si>
  <si>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</si>
  <si>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</si>
  <si>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</si>
  <si>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</si>
  <si>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</si>
  <si>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</si>
  <si>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</si>
  <si>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</si>
  <si>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</si>
  <si>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</si>
  <si>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</si>
  <si>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</si>
  <si>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</si>
  <si>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</si>
  <si>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</si>
  <si>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</si>
  <si>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</si>
  <si>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</si>
  <si>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</si>
  <si>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</si>
  <si>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</si>
  <si>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</si>
  <si>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</si>
  <si>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</si>
  <si>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</si>
  <si>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</si>
  <si>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Gerente de Atendimento e Fiscalização</t>
  </si>
  <si>
    <t>Supervisora de Fiscalização</t>
  </si>
  <si>
    <t>Coordenadora de Atendimento, PF e PJ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</si>
  <si>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</si>
  <si>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</si>
  <si>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</si>
  <si>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</si>
  <si>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</si>
  <si>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</si>
  <si>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</si>
  <si>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</si>
  <si>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</si>
  <si>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</si>
  <si>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</si>
  <si>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FALTAS</t>
  </si>
  <si>
    <t>DESC. VALE REFEIÇÃO</t>
  </si>
  <si>
    <t>DESC. VALE TRANSPORTE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</si>
  <si>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</si>
  <si>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</si>
  <si>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</si>
  <si>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</si>
  <si>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</si>
  <si>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</si>
  <si>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</si>
  <si>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>AUXÍLIO CRECHE</t>
  </si>
  <si>
    <t>DESC. CONV. MÉDICO</t>
  </si>
  <si>
    <t xml:space="preserve">TOTAL  </t>
  </si>
  <si>
    <t>Clarissa Wolff Pierry</t>
  </si>
  <si>
    <t>Cristina Espindola Romor Vargas</t>
  </si>
  <si>
    <t>Luciano Antunes de Oliveira</t>
  </si>
  <si>
    <t>Gerente de Comunicação</t>
  </si>
  <si>
    <t>Sandra Maria de Freitas Carvalho</t>
  </si>
  <si>
    <t>Secretária Geral da Mesa</t>
  </si>
  <si>
    <t>Supervisora de Ética</t>
  </si>
  <si>
    <t>Coordenador de Planejamento</t>
  </si>
  <si>
    <t>Gelson Luiz Benatti</t>
  </si>
  <si>
    <t>Gerente de Planejamento</t>
  </si>
  <si>
    <t>Fausto Leiria Loureiro</t>
  </si>
  <si>
    <t>Chefe de Gabinete</t>
  </si>
  <si>
    <t>Cleci Luciano Vargas</t>
  </si>
  <si>
    <t>FOLHA DE PAGAMENTO -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</si>
</sst>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44" fontId="0" fillId="2" borderId="2" xfId="0" applyNumberFormat="1" applyFont="1" applyFill="1" applyBorder="1" applyAlignment="1">
      <alignment horizontal="left"/>
    </xf>
    <xf numFmtId="44" fontId="0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44" fontId="0" fillId="2" borderId="2" xfId="1" applyFont="1" applyFill="1" applyBorder="1"/>
    <xf numFmtId="44" fontId="0" fillId="2" borderId="2" xfId="1" applyFont="1" applyFill="1" applyBorder="1" applyAlignment="1">
      <alignment horizontal="left"/>
    </xf>
    <xf numFmtId="44" fontId="0" fillId="2" borderId="1" xfId="1" applyFont="1" applyFill="1" applyBorder="1" applyAlignment="1">
      <alignment horizontal="left"/>
    </xf>
    <xf numFmtId="44" fontId="0" fillId="2" borderId="4" xfId="0" applyNumberFormat="1" applyFont="1" applyFill="1" applyBorder="1" applyAlignment="1">
      <alignment horizontal="left"/>
    </xf>
    <xf numFmtId="164" fontId="0" fillId="2" borderId="2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center"/>
    </xf>
    <xf numFmtId="44" fontId="0" fillId="2" borderId="5" xfId="0" applyNumberFormat="1" applyFont="1" applyFill="1" applyBorder="1" applyAlignment="1">
      <alignment horizontal="left"/>
    </xf>
    <xf numFmtId="164" fontId="0" fillId="2" borderId="4" xfId="0" applyNumberFormat="1" applyFont="1" applyFill="1" applyBorder="1" applyAlignment="1">
      <alignment horizontal="right"/>
    </xf>
    <xf numFmtId="0" fontId="0" fillId="2" borderId="1" xfId="0" applyFill="1" applyBorder="1"/>
    <xf numFmtId="0" fontId="0" fillId="2" borderId="0" xfId="0" applyFill="1" applyBorder="1"/>
    <xf numFmtId="164" fontId="0" fillId="2" borderId="1" xfId="0" applyNumberFormat="1" applyFont="1" applyFill="1" applyBorder="1"/>
    <xf numFmtId="44" fontId="0" fillId="2" borderId="1" xfId="0" applyNumberFormat="1" applyFont="1" applyFill="1" applyBorder="1"/>
    <xf numFmtId="44" fontId="0" fillId="2" borderId="1" xfId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I62"/>
  <sheetViews>
    <sheetView tabSelected="1" zoomScaleNormal="100" workbookViewId="0">
      <selection activeCell="A62" sqref="A62:B62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2.7109375" style="1" bestFit="1" customWidth="1"/>
    <col min="4" max="4" width="13.28515625" style="1" customWidth="1"/>
    <col min="5" max="5" width="13.28515625" style="1" bestFit="1" customWidth="1"/>
    <col min="6" max="6" width="12.140625" style="1" bestFit="1" customWidth="1"/>
    <col min="7" max="7" width="13.140625" style="1" customWidth="1"/>
    <col min="8" max="8" width="12.140625" style="1" bestFit="1" customWidth="1"/>
    <col min="9" max="9" width="13.28515625" style="1" bestFit="1" customWidth="1"/>
    <col min="10" max="10" width="15.42578125" style="1" customWidth="1"/>
    <col min="11" max="11" width="13.28515625" style="1" bestFit="1" customWidth="1"/>
    <col min="12" max="12" width="12.140625" style="1" bestFit="1" customWidth="1"/>
    <col min="13" max="13" width="12.28515625" style="1" customWidth="1"/>
    <col min="14" max="14" width="12.5703125" style="1" customWidth="1"/>
    <col min="15" max="15" width="12.7109375" style="1" customWidth="1"/>
    <col min="16" max="16" width="12.5703125" style="1" customWidth="1"/>
    <col min="17" max="18" width="13.28515625" style="1" bestFit="1" customWidth="1"/>
    <col min="19" max="19" width="17" style="1" customWidth="1"/>
    <col min="20" max="16384" width="73" style="1"/>
  </cols>
  <sheetData>
    <row r="3" spans="1:19" ht="21" x14ac:dyDescent="0.35">
      <c r="A3" s="29" t="s">
        <v>103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35.25" customHeight="1" thickBot="1" x14ac:dyDescent="0.3">
      <c r="A5" s="2" t="s">
        <v>39</v>
      </c>
      <c r="B5" s="2" t="s">
        <v>70</v>
      </c>
      <c r="C5" s="3" t="s">
        <v>69</v>
      </c>
      <c r="D5" s="3" t="s">
        <v>71</v>
      </c>
      <c r="E5" s="3" t="s">
        <v>72</v>
      </c>
      <c r="F5" s="3" t="s">
        <v>73</v>
      </c>
      <c r="G5" s="4" t="s">
        <v>74</v>
      </c>
      <c r="H5" s="3" t="s">
        <v>75</v>
      </c>
      <c r="I5" s="3" t="s">
        <v>61</v>
      </c>
      <c r="J5" s="3" t="s">
        <v>76</v>
      </c>
      <c r="K5" s="3" t="s">
        <v>86</v>
      </c>
      <c r="L5" s="3" t="s">
        <v>77</v>
      </c>
      <c r="M5" s="3" t="s">
        <v>78</v>
      </c>
      <c r="N5" s="3" t="s">
        <v>79</v>
      </c>
      <c r="O5" s="3" t="s">
        <v>88</v>
      </c>
      <c r="P5" s="3" t="s">
        <v>87</v>
      </c>
      <c r="Q5" s="3" t="s">
        <v>80</v>
      </c>
      <c r="R5" s="3" t="s">
        <v>40</v>
      </c>
      <c r="S5" s="3" t="s">
        <v>41</v>
      </c>
    </row>
    <row r="6" spans="1:19" x14ac:dyDescent="0.25">
      <c r="A6" s="5" t="s">
        <v>27</v>
      </c>
      <c r="B6" s="6" t="s">
        <v>28</v>
      </c>
      <c r="C6" s="7">
        <v>2383.35</v>
      </c>
      <c r="D6" s="8">
        <v>0</v>
      </c>
      <c r="E6" s="8">
        <v>0</v>
      </c>
      <c r="F6" s="8">
        <v>732.09</v>
      </c>
      <c r="G6" s="8">
        <v>106.95</v>
      </c>
      <c r="H6" s="8">
        <v>0</v>
      </c>
      <c r="I6" s="17">
        <f>C6+D6+E6+H6</f>
        <v>2383.35</v>
      </c>
      <c r="J6" s="8">
        <v>214.5</v>
      </c>
      <c r="K6" s="8">
        <v>19.86</v>
      </c>
      <c r="L6" s="8">
        <v>0</v>
      </c>
      <c r="M6" s="8">
        <v>36.57</v>
      </c>
      <c r="N6" s="8">
        <v>106.95</v>
      </c>
      <c r="O6" s="8">
        <v>28.53</v>
      </c>
      <c r="P6" s="8">
        <v>0</v>
      </c>
      <c r="Q6" s="8">
        <v>0</v>
      </c>
      <c r="R6" s="9">
        <f>J6+K6+L6+M6+N6+O6+Q6</f>
        <v>406.40999999999997</v>
      </c>
      <c r="S6" s="9">
        <f>I6-R6</f>
        <v>1976.94</v>
      </c>
    </row>
    <row r="7" spans="1:19" x14ac:dyDescent="0.25">
      <c r="A7" s="10" t="s">
        <v>6</v>
      </c>
      <c r="B7" s="11" t="s">
        <v>82</v>
      </c>
      <c r="C7" s="7">
        <v>5467.66</v>
      </c>
      <c r="D7" s="8">
        <v>0</v>
      </c>
      <c r="E7" s="9">
        <v>5928.03</v>
      </c>
      <c r="F7" s="8">
        <v>732.09</v>
      </c>
      <c r="G7" s="8">
        <v>0</v>
      </c>
      <c r="H7" s="8">
        <v>0</v>
      </c>
      <c r="I7" s="17">
        <f t="shared" ref="I7:I61" si="0">C7+D7+E7+H7</f>
        <v>11395.689999999999</v>
      </c>
      <c r="J7" s="8">
        <f>31.94+589.09</f>
        <v>621.03000000000009</v>
      </c>
      <c r="K7" s="8">
        <v>2093.67</v>
      </c>
      <c r="L7" s="8">
        <v>0</v>
      </c>
      <c r="M7" s="8">
        <v>36.57</v>
      </c>
      <c r="N7" s="8">
        <v>0</v>
      </c>
      <c r="O7" s="8">
        <f>37.74+309.7</f>
        <v>347.44</v>
      </c>
      <c r="P7" s="8">
        <v>0</v>
      </c>
      <c r="Q7" s="8">
        <v>0</v>
      </c>
      <c r="R7" s="9">
        <f t="shared" ref="R7:R61" si="1">J7+K7+L7+M7+N7+O7+Q7</f>
        <v>3098.7100000000005</v>
      </c>
      <c r="S7" s="9">
        <f>I7-R7</f>
        <v>8296.9799999999977</v>
      </c>
    </row>
    <row r="8" spans="1:19" x14ac:dyDescent="0.25">
      <c r="A8" s="10" t="s">
        <v>83</v>
      </c>
      <c r="B8" s="11" t="s">
        <v>13</v>
      </c>
      <c r="C8" s="7">
        <v>8212.15</v>
      </c>
      <c r="D8" s="8">
        <v>0</v>
      </c>
      <c r="E8" s="8">
        <v>0</v>
      </c>
      <c r="F8" s="8">
        <v>477.45</v>
      </c>
      <c r="G8" s="8">
        <v>0</v>
      </c>
      <c r="H8" s="8">
        <f>1048.9+155.39</f>
        <v>1204.29</v>
      </c>
      <c r="I8" s="17">
        <f t="shared" si="0"/>
        <v>9416.4399999999987</v>
      </c>
      <c r="J8" s="8">
        <f>452.69+168.34</f>
        <v>621.03</v>
      </c>
      <c r="K8" s="8">
        <v>1549.38</v>
      </c>
      <c r="L8" s="8">
        <v>0</v>
      </c>
      <c r="M8" s="8">
        <v>23.85</v>
      </c>
      <c r="N8" s="8">
        <v>0</v>
      </c>
      <c r="O8" s="8">
        <f>32.82</f>
        <v>32.82</v>
      </c>
      <c r="P8" s="8">
        <v>0</v>
      </c>
      <c r="Q8" s="8">
        <v>0</v>
      </c>
      <c r="R8" s="9">
        <f t="shared" si="1"/>
        <v>2227.08</v>
      </c>
      <c r="S8" s="9">
        <f>I8-R8</f>
        <v>7189.3599999999988</v>
      </c>
    </row>
    <row r="9" spans="1:19" x14ac:dyDescent="0.25">
      <c r="A9" s="10" t="s">
        <v>12</v>
      </c>
      <c r="B9" s="11" t="s">
        <v>13</v>
      </c>
      <c r="C9" s="7">
        <v>8627.67</v>
      </c>
      <c r="D9" s="8">
        <v>0</v>
      </c>
      <c r="E9" s="8">
        <v>0</v>
      </c>
      <c r="F9" s="8">
        <v>732.09</v>
      </c>
      <c r="G9" s="8">
        <v>0</v>
      </c>
      <c r="H9" s="8">
        <v>0</v>
      </c>
      <c r="I9" s="17">
        <f t="shared" si="0"/>
        <v>8627.67</v>
      </c>
      <c r="J9" s="8">
        <v>621.03</v>
      </c>
      <c r="K9" s="8">
        <v>1332.47</v>
      </c>
      <c r="L9" s="8">
        <v>0</v>
      </c>
      <c r="M9" s="8">
        <v>36.57</v>
      </c>
      <c r="N9" s="8">
        <v>0</v>
      </c>
      <c r="O9" s="8">
        <f>28.53</f>
        <v>28.53</v>
      </c>
      <c r="P9" s="8">
        <v>0</v>
      </c>
      <c r="Q9" s="8">
        <v>0</v>
      </c>
      <c r="R9" s="9">
        <f t="shared" si="1"/>
        <v>2018.6</v>
      </c>
      <c r="S9" s="9">
        <f>I9-R9</f>
        <v>6609.07</v>
      </c>
    </row>
    <row r="10" spans="1:19" x14ac:dyDescent="0.25">
      <c r="A10" s="10" t="s">
        <v>55</v>
      </c>
      <c r="B10" s="11" t="s">
        <v>11</v>
      </c>
      <c r="C10" s="7">
        <v>2268.5500000000002</v>
      </c>
      <c r="D10" s="8">
        <v>0</v>
      </c>
      <c r="E10" s="9">
        <v>0</v>
      </c>
      <c r="F10" s="8">
        <v>732.09</v>
      </c>
      <c r="G10" s="8">
        <v>361.8</v>
      </c>
      <c r="H10" s="8">
        <f>11.34+1.68</f>
        <v>13.02</v>
      </c>
      <c r="I10" s="17">
        <f t="shared" si="0"/>
        <v>2281.5700000000002</v>
      </c>
      <c r="J10" s="8">
        <v>205.34</v>
      </c>
      <c r="K10" s="8">
        <v>12.92</v>
      </c>
      <c r="L10" s="8">
        <v>0</v>
      </c>
      <c r="M10" s="8">
        <v>36.57</v>
      </c>
      <c r="N10" s="8">
        <v>136.11000000000001</v>
      </c>
      <c r="O10" s="8">
        <v>24.82</v>
      </c>
      <c r="P10" s="8">
        <v>0</v>
      </c>
      <c r="Q10" s="8">
        <v>0</v>
      </c>
      <c r="R10" s="9">
        <f t="shared" si="1"/>
        <v>415.76</v>
      </c>
      <c r="S10" s="9">
        <f>I10-R10</f>
        <v>1865.8100000000002</v>
      </c>
    </row>
    <row r="11" spans="1:19" x14ac:dyDescent="0.25">
      <c r="A11" s="10" t="s">
        <v>24</v>
      </c>
      <c r="B11" s="11" t="s">
        <v>16</v>
      </c>
      <c r="C11" s="7">
        <f>2733.33+4798.2</f>
        <v>7531.53</v>
      </c>
      <c r="D11" s="8">
        <f>2733.83+915.2+10.25+1.52</f>
        <v>3660.7999999999997</v>
      </c>
      <c r="E11" s="9">
        <v>0</v>
      </c>
      <c r="F11" s="8">
        <v>732.09</v>
      </c>
      <c r="G11" s="8">
        <v>0</v>
      </c>
      <c r="H11" s="8">
        <v>0</v>
      </c>
      <c r="I11" s="17">
        <f t="shared" si="0"/>
        <v>11192.33</v>
      </c>
      <c r="J11" s="8">
        <f>218.35+402.68</f>
        <v>621.03</v>
      </c>
      <c r="K11" s="8">
        <f>1089.74+133.92</f>
        <v>1223.6600000000001</v>
      </c>
      <c r="L11" s="8">
        <f>182.35+6.83</f>
        <v>189.18</v>
      </c>
      <c r="M11" s="8">
        <v>36.57</v>
      </c>
      <c r="N11" s="8">
        <v>0</v>
      </c>
      <c r="O11" s="8">
        <f>37.74+89.22</f>
        <v>126.96000000000001</v>
      </c>
      <c r="P11" s="8">
        <v>0</v>
      </c>
      <c r="Q11" s="8">
        <v>3124.2</v>
      </c>
      <c r="R11" s="9">
        <f>J11+K11+L11+M11+N11+O11+Q11+3645.11</f>
        <v>8966.7100000000009</v>
      </c>
      <c r="S11" s="9">
        <f t="shared" ref="S11:S23" si="2">I11-R11</f>
        <v>2225.619999999999</v>
      </c>
    </row>
    <row r="12" spans="1:19" x14ac:dyDescent="0.25">
      <c r="A12" s="10" t="s">
        <v>17</v>
      </c>
      <c r="B12" s="11" t="s">
        <v>18</v>
      </c>
      <c r="C12" s="7">
        <v>5467.66</v>
      </c>
      <c r="D12" s="8">
        <v>0</v>
      </c>
      <c r="E12" s="9">
        <v>0</v>
      </c>
      <c r="F12" s="8">
        <v>732.09</v>
      </c>
      <c r="G12" s="8">
        <v>0</v>
      </c>
      <c r="H12" s="8">
        <f>210.37+31.17</f>
        <v>241.54000000000002</v>
      </c>
      <c r="I12" s="17">
        <f t="shared" si="0"/>
        <v>5709.2</v>
      </c>
      <c r="J12" s="8">
        <v>621.03</v>
      </c>
      <c r="K12" s="8">
        <v>529.89</v>
      </c>
      <c r="L12" s="8">
        <v>0</v>
      </c>
      <c r="M12" s="8">
        <v>36.57</v>
      </c>
      <c r="N12" s="8">
        <v>0</v>
      </c>
      <c r="O12" s="8">
        <f>37.74+39.65</f>
        <v>77.39</v>
      </c>
      <c r="P12" s="8">
        <v>0</v>
      </c>
      <c r="Q12" s="8">
        <v>0</v>
      </c>
      <c r="R12" s="9">
        <f t="shared" si="1"/>
        <v>1264.8800000000001</v>
      </c>
      <c r="S12" s="9">
        <f t="shared" si="2"/>
        <v>4444.32</v>
      </c>
    </row>
    <row r="13" spans="1:19" x14ac:dyDescent="0.25">
      <c r="A13" s="10" t="s">
        <v>3</v>
      </c>
      <c r="B13" s="11" t="s">
        <v>4</v>
      </c>
      <c r="C13" s="7">
        <v>11395.69</v>
      </c>
      <c r="D13" s="8">
        <v>0</v>
      </c>
      <c r="E13" s="9">
        <v>0</v>
      </c>
      <c r="F13" s="8">
        <v>732.09</v>
      </c>
      <c r="G13" s="8">
        <v>0</v>
      </c>
      <c r="H13" s="8">
        <v>0</v>
      </c>
      <c r="I13" s="17">
        <f t="shared" si="0"/>
        <v>11395.69</v>
      </c>
      <c r="J13" s="8">
        <f>322.93+298.1</f>
        <v>621.03</v>
      </c>
      <c r="K13" s="8">
        <v>2093.67</v>
      </c>
      <c r="L13" s="8">
        <v>0</v>
      </c>
      <c r="M13" s="8">
        <v>36.57</v>
      </c>
      <c r="N13" s="8">
        <v>0</v>
      </c>
      <c r="O13" s="8">
        <f>52.98</f>
        <v>52.98</v>
      </c>
      <c r="P13" s="8">
        <v>0</v>
      </c>
      <c r="Q13" s="8">
        <v>0</v>
      </c>
      <c r="R13" s="9">
        <f>J13+K13+L13+M13+N13+O13+Q13</f>
        <v>2804.25</v>
      </c>
      <c r="S13" s="9">
        <f t="shared" si="2"/>
        <v>8591.44</v>
      </c>
    </row>
    <row r="14" spans="1:19" x14ac:dyDescent="0.25">
      <c r="A14" s="10" t="s">
        <v>19</v>
      </c>
      <c r="B14" s="11" t="s">
        <v>13</v>
      </c>
      <c r="C14" s="7">
        <f>2012.4+1899.3</f>
        <v>3911.7</v>
      </c>
      <c r="D14" s="8">
        <f>5176.73+1928.16+6.99+1.35+599.43</f>
        <v>7712.66</v>
      </c>
      <c r="E14" s="9">
        <v>0</v>
      </c>
      <c r="F14" s="8">
        <v>700.26</v>
      </c>
      <c r="G14" s="8">
        <v>0</v>
      </c>
      <c r="H14" s="8">
        <v>0</v>
      </c>
      <c r="I14" s="17">
        <f t="shared" si="0"/>
        <v>11624.36</v>
      </c>
      <c r="J14" s="8">
        <f>32.68+588.35</f>
        <v>621.03</v>
      </c>
      <c r="K14" s="8">
        <v>236.65</v>
      </c>
      <c r="L14" s="8">
        <v>0</v>
      </c>
      <c r="M14" s="8">
        <v>34.979999999999997</v>
      </c>
      <c r="N14" s="8">
        <v>0</v>
      </c>
      <c r="O14" s="8">
        <f>37.74</f>
        <v>37.74</v>
      </c>
      <c r="P14" s="8">
        <v>0</v>
      </c>
      <c r="Q14" s="8">
        <v>5892.96</v>
      </c>
      <c r="R14" s="9">
        <f t="shared" si="1"/>
        <v>6823.36</v>
      </c>
      <c r="S14" s="9">
        <f t="shared" si="2"/>
        <v>4801.0000000000009</v>
      </c>
    </row>
    <row r="15" spans="1:19" x14ac:dyDescent="0.25">
      <c r="A15" s="10" t="s">
        <v>84</v>
      </c>
      <c r="B15" s="11" t="s">
        <v>66</v>
      </c>
      <c r="C15" s="7">
        <v>7197.28</v>
      </c>
      <c r="D15" s="8">
        <v>0</v>
      </c>
      <c r="E15" s="9">
        <v>0</v>
      </c>
      <c r="F15" s="8">
        <v>732.09</v>
      </c>
      <c r="G15" s="8">
        <v>0</v>
      </c>
      <c r="H15" s="8">
        <f>1093.63+162.02</f>
        <v>1255.6500000000001</v>
      </c>
      <c r="I15" s="17">
        <f t="shared" si="0"/>
        <v>8452.93</v>
      </c>
      <c r="J15" s="8">
        <v>621.03</v>
      </c>
      <c r="K15" s="8">
        <v>1284.4100000000001</v>
      </c>
      <c r="L15" s="8">
        <v>0</v>
      </c>
      <c r="M15" s="8">
        <v>36.57</v>
      </c>
      <c r="N15" s="8">
        <v>0</v>
      </c>
      <c r="O15" s="8">
        <v>68.88</v>
      </c>
      <c r="P15" s="8">
        <v>0</v>
      </c>
      <c r="Q15" s="8">
        <v>0</v>
      </c>
      <c r="R15" s="9">
        <f t="shared" si="1"/>
        <v>2010.8899999999999</v>
      </c>
      <c r="S15" s="9">
        <f t="shared" si="2"/>
        <v>6442.0400000000009</v>
      </c>
    </row>
    <row r="16" spans="1:19" x14ac:dyDescent="0.25">
      <c r="A16" s="10" t="s">
        <v>1</v>
      </c>
      <c r="B16" s="11" t="s">
        <v>2</v>
      </c>
      <c r="C16" s="7">
        <v>11395.69</v>
      </c>
      <c r="D16" s="8">
        <v>0</v>
      </c>
      <c r="E16" s="9">
        <v>0</v>
      </c>
      <c r="F16" s="8">
        <v>732.09</v>
      </c>
      <c r="G16" s="8">
        <v>0</v>
      </c>
      <c r="H16" s="8">
        <v>0</v>
      </c>
      <c r="I16" s="17">
        <f t="shared" si="0"/>
        <v>11395.69</v>
      </c>
      <c r="J16" s="8">
        <f>484.3+136.73</f>
        <v>621.03</v>
      </c>
      <c r="K16" s="8">
        <v>2093.67</v>
      </c>
      <c r="L16" s="8">
        <v>0</v>
      </c>
      <c r="M16" s="8">
        <v>36.57</v>
      </c>
      <c r="N16" s="8">
        <v>0</v>
      </c>
      <c r="O16" s="8">
        <f>37.74+97.25</f>
        <v>134.99</v>
      </c>
      <c r="P16" s="8">
        <v>0</v>
      </c>
      <c r="Q16" s="8">
        <v>0</v>
      </c>
      <c r="R16" s="9">
        <f t="shared" si="1"/>
        <v>2886.26</v>
      </c>
      <c r="S16" s="9">
        <f t="shared" si="2"/>
        <v>8509.43</v>
      </c>
    </row>
    <row r="17" spans="1:20" x14ac:dyDescent="0.25">
      <c r="A17" s="10" t="s">
        <v>15</v>
      </c>
      <c r="B17" s="11" t="s">
        <v>16</v>
      </c>
      <c r="C17" s="7">
        <v>5324.99</v>
      </c>
      <c r="D17" s="8">
        <f>182.26+61.89+0.85+2.12+0.44</f>
        <v>247.55999999999997</v>
      </c>
      <c r="E17" s="9">
        <v>0</v>
      </c>
      <c r="F17" s="8">
        <v>732.09</v>
      </c>
      <c r="G17" s="8">
        <v>0</v>
      </c>
      <c r="H17" s="8">
        <v>0</v>
      </c>
      <c r="I17" s="17">
        <f t="shared" si="0"/>
        <v>5572.55</v>
      </c>
      <c r="J17" s="8">
        <f>592.28+20.7</f>
        <v>612.98</v>
      </c>
      <c r="K17" s="8">
        <f>386.07+950.06</f>
        <v>1336.1299999999999</v>
      </c>
      <c r="L17" s="8">
        <v>0</v>
      </c>
      <c r="M17" s="8">
        <v>36.57</v>
      </c>
      <c r="N17" s="8">
        <v>0</v>
      </c>
      <c r="O17" s="13">
        <f>32.82+39.65</f>
        <v>72.47</v>
      </c>
      <c r="P17" s="13">
        <v>0</v>
      </c>
      <c r="Q17" s="8">
        <v>247.56</v>
      </c>
      <c r="R17" s="9">
        <f t="shared" si="1"/>
        <v>2305.7099999999996</v>
      </c>
      <c r="S17" s="9">
        <f t="shared" si="2"/>
        <v>3266.8400000000006</v>
      </c>
    </row>
    <row r="18" spans="1:20" x14ac:dyDescent="0.25">
      <c r="A18" s="10" t="s">
        <v>90</v>
      </c>
      <c r="B18" s="11" t="s">
        <v>13</v>
      </c>
      <c r="C18" s="7">
        <v>8212.15</v>
      </c>
      <c r="D18" s="8">
        <v>0</v>
      </c>
      <c r="E18" s="9">
        <v>0</v>
      </c>
      <c r="F18" s="8">
        <v>477.45</v>
      </c>
      <c r="G18" s="8">
        <v>0</v>
      </c>
      <c r="H18" s="8">
        <f>562.53+623.91+175.77</f>
        <v>1362.21</v>
      </c>
      <c r="I18" s="17">
        <f t="shared" si="0"/>
        <v>9574.36</v>
      </c>
      <c r="J18" s="8">
        <v>621.03</v>
      </c>
      <c r="K18" s="8">
        <v>1592.81</v>
      </c>
      <c r="L18" s="8">
        <v>0</v>
      </c>
      <c r="M18" s="8">
        <v>23.85</v>
      </c>
      <c r="N18" s="8">
        <v>0</v>
      </c>
      <c r="O18" s="13">
        <f>32.82+65.43</f>
        <v>98.25</v>
      </c>
      <c r="P18" s="13">
        <v>0</v>
      </c>
      <c r="Q18" s="8">
        <v>0</v>
      </c>
      <c r="R18" s="9">
        <f t="shared" si="1"/>
        <v>2335.94</v>
      </c>
      <c r="S18" s="9">
        <f t="shared" si="2"/>
        <v>7238.42</v>
      </c>
      <c r="T18" s="25"/>
    </row>
    <row r="19" spans="1:20" x14ac:dyDescent="0.25">
      <c r="A19" s="10" t="s">
        <v>29</v>
      </c>
      <c r="B19" s="11" t="s">
        <v>18</v>
      </c>
      <c r="C19" s="7">
        <v>5467.66</v>
      </c>
      <c r="D19" s="8">
        <v>0</v>
      </c>
      <c r="E19" s="9">
        <v>0</v>
      </c>
      <c r="F19" s="8">
        <v>406.8</v>
      </c>
      <c r="G19" s="8">
        <v>0</v>
      </c>
      <c r="H19" s="8">
        <v>0</v>
      </c>
      <c r="I19" s="17">
        <f t="shared" si="0"/>
        <v>5467.66</v>
      </c>
      <c r="J19" s="8">
        <v>576.92999999999995</v>
      </c>
      <c r="K19" s="8">
        <v>371.49</v>
      </c>
      <c r="L19" s="8">
        <f>182.35+40.46</f>
        <v>222.81</v>
      </c>
      <c r="M19" s="8">
        <v>36.57</v>
      </c>
      <c r="N19" s="8">
        <v>328.06</v>
      </c>
      <c r="O19" s="14">
        <f>32.82</f>
        <v>32.82</v>
      </c>
      <c r="P19" s="8">
        <v>403.17</v>
      </c>
      <c r="Q19" s="8">
        <v>0</v>
      </c>
      <c r="R19" s="9">
        <f t="shared" si="1"/>
        <v>1568.6799999999998</v>
      </c>
      <c r="S19" s="9">
        <f>(I19-R19)+P19</f>
        <v>4302.1499999999996</v>
      </c>
      <c r="T19" s="25"/>
    </row>
    <row r="20" spans="1:20" x14ac:dyDescent="0.25">
      <c r="A20" s="10" t="s">
        <v>102</v>
      </c>
      <c r="B20" s="11" t="s">
        <v>11</v>
      </c>
      <c r="C20" s="7">
        <v>2268.5500000000002</v>
      </c>
      <c r="D20" s="8">
        <v>0</v>
      </c>
      <c r="E20" s="9">
        <v>0</v>
      </c>
      <c r="F20" s="8">
        <v>732.09</v>
      </c>
      <c r="G20" s="8">
        <v>197.8</v>
      </c>
      <c r="H20" s="8">
        <v>0</v>
      </c>
      <c r="I20" s="17">
        <f t="shared" si="0"/>
        <v>2268.5500000000002</v>
      </c>
      <c r="J20" s="8">
        <v>204.16</v>
      </c>
      <c r="K20" s="8">
        <v>12.03</v>
      </c>
      <c r="L20" s="8">
        <v>0</v>
      </c>
      <c r="M20" s="8">
        <v>36.57</v>
      </c>
      <c r="N20" s="8">
        <v>136.11000000000001</v>
      </c>
      <c r="O20" s="14">
        <f>68.88+39.65</f>
        <v>108.53</v>
      </c>
      <c r="P20" s="8">
        <v>0</v>
      </c>
      <c r="Q20" s="8">
        <v>0</v>
      </c>
      <c r="R20" s="9">
        <f t="shared" si="1"/>
        <v>497.4</v>
      </c>
      <c r="S20" s="9">
        <f t="shared" si="2"/>
        <v>1771.15</v>
      </c>
      <c r="T20" s="25"/>
    </row>
    <row r="21" spans="1:20" x14ac:dyDescent="0.25">
      <c r="A21" s="10" t="s">
        <v>91</v>
      </c>
      <c r="B21" s="11" t="s">
        <v>16</v>
      </c>
      <c r="C21" s="7">
        <v>5201.26</v>
      </c>
      <c r="D21" s="8">
        <v>0</v>
      </c>
      <c r="E21" s="9">
        <v>0</v>
      </c>
      <c r="F21" s="8">
        <v>732.09</v>
      </c>
      <c r="G21" s="8">
        <v>197.8</v>
      </c>
      <c r="H21" s="8">
        <v>0</v>
      </c>
      <c r="I21" s="17">
        <f t="shared" si="0"/>
        <v>5201.26</v>
      </c>
      <c r="J21" s="8">
        <v>571.67999999999995</v>
      </c>
      <c r="K21" s="8">
        <v>404.59</v>
      </c>
      <c r="L21" s="8">
        <v>4.16</v>
      </c>
      <c r="M21" s="8">
        <v>36.57</v>
      </c>
      <c r="N21" s="8">
        <v>197.8</v>
      </c>
      <c r="O21" s="14">
        <f>52.98+39.65</f>
        <v>92.63</v>
      </c>
      <c r="P21" s="8">
        <v>0</v>
      </c>
      <c r="Q21" s="8">
        <v>0</v>
      </c>
      <c r="R21" s="9">
        <f t="shared" si="1"/>
        <v>1307.4299999999998</v>
      </c>
      <c r="S21" s="9">
        <f t="shared" si="2"/>
        <v>3893.8300000000004</v>
      </c>
      <c r="T21" s="25"/>
    </row>
    <row r="22" spans="1:20" x14ac:dyDescent="0.25">
      <c r="A22" s="10" t="s">
        <v>36</v>
      </c>
      <c r="B22" s="11" t="s">
        <v>18</v>
      </c>
      <c r="C22" s="7">
        <v>5308.41</v>
      </c>
      <c r="D22" s="8">
        <v>0</v>
      </c>
      <c r="E22" s="9">
        <v>0</v>
      </c>
      <c r="F22" s="8">
        <v>732.09</v>
      </c>
      <c r="G22" s="8">
        <v>0</v>
      </c>
      <c r="H22" s="8">
        <f>34.64+5.13</f>
        <v>39.770000000000003</v>
      </c>
      <c r="I22" s="17">
        <f t="shared" si="0"/>
        <v>5348.18</v>
      </c>
      <c r="J22" s="8">
        <v>588.29</v>
      </c>
      <c r="K22" s="8">
        <v>439.61</v>
      </c>
      <c r="L22" s="8">
        <v>0</v>
      </c>
      <c r="M22" s="8">
        <v>36.57</v>
      </c>
      <c r="N22" s="8">
        <v>0</v>
      </c>
      <c r="O22" s="14">
        <f>68.88+65.43</f>
        <v>134.31</v>
      </c>
      <c r="P22" s="8">
        <v>0</v>
      </c>
      <c r="Q22" s="8">
        <v>0</v>
      </c>
      <c r="R22" s="9">
        <f t="shared" si="1"/>
        <v>1198.78</v>
      </c>
      <c r="S22" s="9">
        <f t="shared" si="2"/>
        <v>4149.4000000000005</v>
      </c>
      <c r="T22" s="25"/>
    </row>
    <row r="23" spans="1:20" x14ac:dyDescent="0.25">
      <c r="A23" s="10" t="s">
        <v>85</v>
      </c>
      <c r="B23" s="11" t="s">
        <v>11</v>
      </c>
      <c r="C23" s="7">
        <v>2268.5500000000002</v>
      </c>
      <c r="D23" s="8">
        <v>0</v>
      </c>
      <c r="E23" s="9">
        <v>0</v>
      </c>
      <c r="F23" s="8">
        <v>732.09</v>
      </c>
      <c r="G23" s="8">
        <v>0</v>
      </c>
      <c r="H23" s="8">
        <v>0</v>
      </c>
      <c r="I23" s="17">
        <f t="shared" si="0"/>
        <v>2268.5500000000002</v>
      </c>
      <c r="J23" s="8">
        <v>204.16</v>
      </c>
      <c r="K23" s="8">
        <v>12.03</v>
      </c>
      <c r="L23" s="8">
        <v>0</v>
      </c>
      <c r="M23" s="8">
        <v>36.57</v>
      </c>
      <c r="N23" s="8">
        <v>0</v>
      </c>
      <c r="O23" s="14">
        <v>37.74</v>
      </c>
      <c r="P23" s="8">
        <v>0</v>
      </c>
      <c r="Q23" s="8">
        <v>0</v>
      </c>
      <c r="R23" s="9">
        <f t="shared" si="1"/>
        <v>290.5</v>
      </c>
      <c r="S23" s="9">
        <f t="shared" si="2"/>
        <v>1978.0500000000002</v>
      </c>
      <c r="T23" s="25"/>
    </row>
    <row r="24" spans="1:20" x14ac:dyDescent="0.25">
      <c r="A24" s="10" t="s">
        <v>42</v>
      </c>
      <c r="B24" s="11" t="s">
        <v>11</v>
      </c>
      <c r="C24" s="7">
        <v>2268.5500000000002</v>
      </c>
      <c r="D24" s="8">
        <v>0</v>
      </c>
      <c r="E24" s="9">
        <v>0</v>
      </c>
      <c r="F24" s="8">
        <v>732.09</v>
      </c>
      <c r="G24" s="8">
        <v>696.9</v>
      </c>
      <c r="H24" s="8">
        <v>0</v>
      </c>
      <c r="I24" s="17">
        <f t="shared" si="0"/>
        <v>2268.5500000000002</v>
      </c>
      <c r="J24" s="8">
        <v>204.16</v>
      </c>
      <c r="K24" s="8">
        <v>12.03</v>
      </c>
      <c r="L24" s="8">
        <v>0</v>
      </c>
      <c r="M24" s="8">
        <v>36.57</v>
      </c>
      <c r="N24" s="8">
        <v>136.11000000000001</v>
      </c>
      <c r="O24" s="14">
        <v>0</v>
      </c>
      <c r="P24" s="8">
        <v>0</v>
      </c>
      <c r="Q24" s="8">
        <v>0</v>
      </c>
      <c r="R24" s="9">
        <f t="shared" si="1"/>
        <v>388.87</v>
      </c>
      <c r="S24" s="9">
        <f>I24-R24</f>
        <v>1879.6800000000003</v>
      </c>
      <c r="T24" s="25"/>
    </row>
    <row r="25" spans="1:20" x14ac:dyDescent="0.25">
      <c r="A25" s="10" t="s">
        <v>54</v>
      </c>
      <c r="B25" s="11" t="s">
        <v>11</v>
      </c>
      <c r="C25" s="7">
        <v>2268.5500000000002</v>
      </c>
      <c r="D25" s="8">
        <v>0</v>
      </c>
      <c r="E25" s="9">
        <v>0</v>
      </c>
      <c r="F25" s="8">
        <v>732.09</v>
      </c>
      <c r="G25" s="8">
        <v>111.8</v>
      </c>
      <c r="H25" s="8">
        <f>113.43+54.09+24.82</f>
        <v>192.34</v>
      </c>
      <c r="I25" s="17">
        <f t="shared" si="0"/>
        <v>2460.8900000000003</v>
      </c>
      <c r="J25" s="8">
        <v>221.48</v>
      </c>
      <c r="K25" s="8">
        <v>25.16</v>
      </c>
      <c r="L25" s="8">
        <v>0</v>
      </c>
      <c r="M25" s="8">
        <v>36.57</v>
      </c>
      <c r="N25" s="8">
        <v>111.8</v>
      </c>
      <c r="O25" s="14">
        <f>32.82</f>
        <v>32.82</v>
      </c>
      <c r="P25" s="8">
        <v>0</v>
      </c>
      <c r="Q25" s="8">
        <v>0</v>
      </c>
      <c r="R25" s="9">
        <f t="shared" si="1"/>
        <v>427.83</v>
      </c>
      <c r="S25" s="9">
        <f>I25-R25</f>
        <v>2033.0600000000004</v>
      </c>
      <c r="T25" s="25"/>
    </row>
    <row r="26" spans="1:20" x14ac:dyDescent="0.25">
      <c r="A26" s="10" t="s">
        <v>56</v>
      </c>
      <c r="B26" s="11" t="s">
        <v>11</v>
      </c>
      <c r="C26" s="7">
        <v>2268.5500000000002</v>
      </c>
      <c r="D26" s="8">
        <v>0</v>
      </c>
      <c r="E26" s="9">
        <v>0</v>
      </c>
      <c r="F26" s="8">
        <v>732.09</v>
      </c>
      <c r="G26" s="8">
        <v>211.6</v>
      </c>
      <c r="H26" s="8">
        <f>4.61+0.68</f>
        <v>5.29</v>
      </c>
      <c r="I26" s="17">
        <f t="shared" si="0"/>
        <v>2273.84</v>
      </c>
      <c r="J26" s="8">
        <v>204.64</v>
      </c>
      <c r="K26" s="8">
        <v>12.39</v>
      </c>
      <c r="L26" s="8">
        <v>0</v>
      </c>
      <c r="M26" s="8">
        <v>36.57</v>
      </c>
      <c r="N26" s="8">
        <f>136.11+136.11</f>
        <v>272.22000000000003</v>
      </c>
      <c r="O26" s="8">
        <v>32.82</v>
      </c>
      <c r="P26" s="8">
        <v>403.17</v>
      </c>
      <c r="Q26" s="8">
        <v>0</v>
      </c>
      <c r="R26" s="9">
        <f t="shared" si="1"/>
        <v>558.64</v>
      </c>
      <c r="S26" s="28">
        <f>((I26-R26)+P26)</f>
        <v>2118.3700000000003</v>
      </c>
      <c r="T26" s="25"/>
    </row>
    <row r="27" spans="1:20" x14ac:dyDescent="0.25">
      <c r="A27" s="10" t="s">
        <v>100</v>
      </c>
      <c r="B27" s="11" t="s">
        <v>101</v>
      </c>
      <c r="C27" s="7">
        <v>14500</v>
      </c>
      <c r="D27" s="8">
        <v>0</v>
      </c>
      <c r="E27" s="9">
        <v>0</v>
      </c>
      <c r="F27" s="8">
        <v>668.43</v>
      </c>
      <c r="G27" s="8">
        <v>0</v>
      </c>
      <c r="H27" s="8">
        <v>0</v>
      </c>
      <c r="I27" s="17">
        <f t="shared" si="0"/>
        <v>14500</v>
      </c>
      <c r="J27" s="8">
        <v>621.03</v>
      </c>
      <c r="K27" s="8">
        <v>2947.36</v>
      </c>
      <c r="L27" s="8">
        <v>0</v>
      </c>
      <c r="M27" s="8">
        <v>33.39</v>
      </c>
      <c r="N27" s="8">
        <v>0</v>
      </c>
      <c r="O27" s="8">
        <f>68.88+39.65</f>
        <v>108.53</v>
      </c>
      <c r="P27" s="8">
        <v>0</v>
      </c>
      <c r="Q27" s="8">
        <v>0</v>
      </c>
      <c r="R27" s="9">
        <f t="shared" si="1"/>
        <v>3710.3100000000004</v>
      </c>
      <c r="S27" s="28">
        <f>((I27-R27)+P27)</f>
        <v>10789.689999999999</v>
      </c>
      <c r="T27" s="25"/>
    </row>
    <row r="28" spans="1:20" x14ac:dyDescent="0.25">
      <c r="A28" s="10" t="s">
        <v>8</v>
      </c>
      <c r="B28" s="11" t="s">
        <v>7</v>
      </c>
      <c r="C28" s="7">
        <f>4191.5+1275.82</f>
        <v>5467.32</v>
      </c>
      <c r="D28" s="8">
        <v>0</v>
      </c>
      <c r="E28" s="9">
        <v>0</v>
      </c>
      <c r="F28" s="8">
        <v>732.09</v>
      </c>
      <c r="G28" s="8">
        <v>0</v>
      </c>
      <c r="H28" s="8">
        <f>338.7+50.18</f>
        <v>388.88</v>
      </c>
      <c r="I28" s="17">
        <f t="shared" si="0"/>
        <v>5856.2</v>
      </c>
      <c r="J28" s="8">
        <v>621.03</v>
      </c>
      <c r="K28" s="8">
        <v>570.30999999999995</v>
      </c>
      <c r="L28" s="8">
        <v>0</v>
      </c>
      <c r="M28" s="8">
        <v>36.57</v>
      </c>
      <c r="N28" s="8">
        <v>0</v>
      </c>
      <c r="O28" s="8">
        <v>0</v>
      </c>
      <c r="P28" s="8">
        <v>0</v>
      </c>
      <c r="Q28" s="8">
        <v>0</v>
      </c>
      <c r="R28" s="9">
        <f t="shared" si="1"/>
        <v>1227.9099999999999</v>
      </c>
      <c r="S28" s="9">
        <f t="shared" ref="S28:S61" si="3">I28-R28</f>
        <v>4628.29</v>
      </c>
      <c r="T28" s="25"/>
    </row>
    <row r="29" spans="1:20" x14ac:dyDescent="0.25">
      <c r="A29" s="10" t="s">
        <v>49</v>
      </c>
      <c r="B29" s="11" t="s">
        <v>10</v>
      </c>
      <c r="C29" s="7">
        <v>3202.65</v>
      </c>
      <c r="D29" s="8">
        <v>0</v>
      </c>
      <c r="E29" s="9">
        <v>0</v>
      </c>
      <c r="F29" s="8">
        <v>732.09</v>
      </c>
      <c r="G29" s="8">
        <v>0</v>
      </c>
      <c r="H29" s="8">
        <f>234.69+172.17+60.28</f>
        <v>467.14</v>
      </c>
      <c r="I29" s="17">
        <f t="shared" si="0"/>
        <v>3669.79</v>
      </c>
      <c r="J29" s="8">
        <v>403.67</v>
      </c>
      <c r="K29" s="8">
        <v>135.12</v>
      </c>
      <c r="L29" s="8">
        <v>0</v>
      </c>
      <c r="M29" s="8">
        <v>36.57</v>
      </c>
      <c r="N29" s="8">
        <v>0</v>
      </c>
      <c r="O29" s="8">
        <f>28.53</f>
        <v>28.53</v>
      </c>
      <c r="P29" s="8">
        <v>0</v>
      </c>
      <c r="Q29" s="8">
        <v>0</v>
      </c>
      <c r="R29" s="9">
        <f t="shared" si="1"/>
        <v>603.89</v>
      </c>
      <c r="S29" s="9">
        <f t="shared" si="3"/>
        <v>3065.9</v>
      </c>
      <c r="T29" s="25"/>
    </row>
    <row r="30" spans="1:20" x14ac:dyDescent="0.25">
      <c r="A30" s="10" t="s">
        <v>98</v>
      </c>
      <c r="B30" s="11" t="s">
        <v>99</v>
      </c>
      <c r="C30" s="7">
        <v>4798.76</v>
      </c>
      <c r="D30" s="8">
        <v>0</v>
      </c>
      <c r="E30" s="9">
        <v>0</v>
      </c>
      <c r="F30" s="8">
        <v>732.09</v>
      </c>
      <c r="G30" s="8">
        <v>0</v>
      </c>
      <c r="H30" s="8">
        <v>0</v>
      </c>
      <c r="I30" s="17">
        <f t="shared" si="0"/>
        <v>4798.76</v>
      </c>
      <c r="J30" s="8">
        <v>527.86</v>
      </c>
      <c r="K30" s="8">
        <v>324.82</v>
      </c>
      <c r="L30" s="8">
        <v>0</v>
      </c>
      <c r="M30" s="8">
        <v>36.57</v>
      </c>
      <c r="N30" s="8">
        <v>0</v>
      </c>
      <c r="O30" s="8">
        <v>0</v>
      </c>
      <c r="P30" s="8">
        <v>0</v>
      </c>
      <c r="Q30" s="8">
        <v>0</v>
      </c>
      <c r="R30" s="9">
        <f>J30+K30+L30+M30+N30+O30+Q30</f>
        <v>889.25000000000011</v>
      </c>
      <c r="S30" s="9">
        <f t="shared" si="3"/>
        <v>3909.51</v>
      </c>
      <c r="T30" s="25"/>
    </row>
    <row r="31" spans="1:20" x14ac:dyDescent="0.25">
      <c r="A31" s="10" t="s">
        <v>33</v>
      </c>
      <c r="B31" s="11" t="s">
        <v>11</v>
      </c>
      <c r="C31" s="7">
        <v>794.49</v>
      </c>
      <c r="D31" s="8">
        <f>1588.86+529.71+0.24+0.03</f>
        <v>2118.8399999999997</v>
      </c>
      <c r="E31" s="9">
        <v>0</v>
      </c>
      <c r="F31" s="8">
        <v>732.09</v>
      </c>
      <c r="G31" s="8">
        <v>0</v>
      </c>
      <c r="H31" s="8">
        <v>0</v>
      </c>
      <c r="I31" s="17">
        <f t="shared" si="0"/>
        <v>2913.33</v>
      </c>
      <c r="J31" s="8">
        <f>129.61+190.69</f>
        <v>320.3</v>
      </c>
      <c r="K31" s="8">
        <v>0</v>
      </c>
      <c r="L31" s="8">
        <v>1.43</v>
      </c>
      <c r="M31" s="8">
        <v>36.57</v>
      </c>
      <c r="N31" s="8">
        <v>0</v>
      </c>
      <c r="O31" s="8">
        <v>32.82</v>
      </c>
      <c r="P31" s="8">
        <v>0</v>
      </c>
      <c r="Q31" s="8">
        <v>1928.15</v>
      </c>
      <c r="R31" s="9">
        <f t="shared" si="1"/>
        <v>2319.27</v>
      </c>
      <c r="S31" s="9">
        <f t="shared" si="3"/>
        <v>594.05999999999995</v>
      </c>
      <c r="T31" s="25"/>
    </row>
    <row r="32" spans="1:20" x14ac:dyDescent="0.25">
      <c r="A32" s="10" t="s">
        <v>9</v>
      </c>
      <c r="B32" s="11" t="s">
        <v>7</v>
      </c>
      <c r="C32" s="7">
        <v>5204.3100000000004</v>
      </c>
      <c r="D32" s="8">
        <v>0</v>
      </c>
      <c r="E32" s="9">
        <v>0</v>
      </c>
      <c r="F32" s="8">
        <v>732.09</v>
      </c>
      <c r="G32" s="8">
        <v>0</v>
      </c>
      <c r="H32" s="8">
        <f>2.6+0.39</f>
        <v>2.99</v>
      </c>
      <c r="I32" s="17">
        <f t="shared" si="0"/>
        <v>5207.3</v>
      </c>
      <c r="J32" s="8">
        <v>560.78</v>
      </c>
      <c r="K32" s="8">
        <v>384.75</v>
      </c>
      <c r="L32" s="8">
        <v>109.29</v>
      </c>
      <c r="M32" s="8">
        <v>36.57</v>
      </c>
      <c r="N32" s="8">
        <v>0</v>
      </c>
      <c r="O32" s="8">
        <f>28.53+39.65</f>
        <v>68.180000000000007</v>
      </c>
      <c r="P32" s="8">
        <v>0</v>
      </c>
      <c r="Q32" s="8">
        <v>0</v>
      </c>
      <c r="R32" s="9">
        <f t="shared" si="1"/>
        <v>1159.57</v>
      </c>
      <c r="S32" s="9">
        <f t="shared" si="3"/>
        <v>4047.7300000000005</v>
      </c>
      <c r="T32" s="25"/>
    </row>
    <row r="33" spans="1:61" x14ac:dyDescent="0.25">
      <c r="A33" s="10" t="s">
        <v>5</v>
      </c>
      <c r="B33" s="11" t="s">
        <v>95</v>
      </c>
      <c r="C33" s="7">
        <v>11395.69</v>
      </c>
      <c r="D33" s="8">
        <v>0</v>
      </c>
      <c r="E33" s="9">
        <v>0</v>
      </c>
      <c r="F33" s="8">
        <v>732.09</v>
      </c>
      <c r="G33" s="8">
        <v>0</v>
      </c>
      <c r="H33" s="8">
        <v>0</v>
      </c>
      <c r="I33" s="17">
        <f t="shared" si="0"/>
        <v>11395.69</v>
      </c>
      <c r="J33" s="8">
        <v>621.03</v>
      </c>
      <c r="K33" s="8">
        <v>2041.53</v>
      </c>
      <c r="L33" s="8">
        <v>0</v>
      </c>
      <c r="M33" s="8">
        <v>36.57</v>
      </c>
      <c r="N33" s="8">
        <v>0</v>
      </c>
      <c r="O33" s="8">
        <f>37.74</f>
        <v>37.74</v>
      </c>
      <c r="P33" s="8">
        <v>403.17</v>
      </c>
      <c r="Q33" s="8">
        <v>0</v>
      </c>
      <c r="R33" s="9">
        <f t="shared" si="1"/>
        <v>2736.87</v>
      </c>
      <c r="S33" s="28">
        <f>((I33-R33)+P33)</f>
        <v>9061.99</v>
      </c>
      <c r="T33" s="25"/>
    </row>
    <row r="34" spans="1:61" x14ac:dyDescent="0.25">
      <c r="A34" s="10" t="s">
        <v>31</v>
      </c>
      <c r="B34" s="11" t="s">
        <v>13</v>
      </c>
      <c r="C34" s="7">
        <v>8627.67</v>
      </c>
      <c r="D34" s="8">
        <v>0</v>
      </c>
      <c r="E34" s="9">
        <v>0</v>
      </c>
      <c r="F34" s="8">
        <v>668.43</v>
      </c>
      <c r="G34" s="8">
        <v>0</v>
      </c>
      <c r="H34" s="8">
        <f>78.94+11.69</f>
        <v>90.63</v>
      </c>
      <c r="I34" s="17">
        <f t="shared" si="0"/>
        <v>8718.2999999999993</v>
      </c>
      <c r="J34" s="8">
        <f>538.22+82.81</f>
        <v>621.03</v>
      </c>
      <c r="K34" s="8">
        <v>1357.39</v>
      </c>
      <c r="L34" s="8">
        <v>0</v>
      </c>
      <c r="M34" s="8">
        <v>33.39</v>
      </c>
      <c r="N34" s="8">
        <v>0</v>
      </c>
      <c r="O34" s="8">
        <f>32.82+39.65</f>
        <v>72.47</v>
      </c>
      <c r="P34" s="8">
        <v>0</v>
      </c>
      <c r="Q34" s="8">
        <v>0</v>
      </c>
      <c r="R34" s="9">
        <f t="shared" si="1"/>
        <v>2084.2800000000002</v>
      </c>
      <c r="S34" s="9">
        <f t="shared" si="3"/>
        <v>6634.0199999999986</v>
      </c>
      <c r="T34" s="25"/>
    </row>
    <row r="35" spans="1:61" x14ac:dyDescent="0.25">
      <c r="A35" s="10" t="s">
        <v>26</v>
      </c>
      <c r="B35" s="11" t="s">
        <v>11</v>
      </c>
      <c r="C35" s="7">
        <v>2383.35</v>
      </c>
      <c r="D35" s="8">
        <v>0</v>
      </c>
      <c r="E35" s="9">
        <v>0</v>
      </c>
      <c r="F35" s="8">
        <v>732.09</v>
      </c>
      <c r="G35" s="8">
        <v>197.8</v>
      </c>
      <c r="H35" s="8">
        <f>2.68+0.4</f>
        <v>3.08</v>
      </c>
      <c r="I35" s="17">
        <f t="shared" si="0"/>
        <v>2386.4299999999998</v>
      </c>
      <c r="J35" s="8">
        <v>207.62</v>
      </c>
      <c r="K35" s="8">
        <v>14.65</v>
      </c>
      <c r="L35" s="8">
        <f>79.48</f>
        <v>79.48</v>
      </c>
      <c r="M35" s="8">
        <v>36.57</v>
      </c>
      <c r="N35" s="8">
        <v>143</v>
      </c>
      <c r="O35" s="8">
        <f>43.79+28.56</f>
        <v>72.349999999999994</v>
      </c>
      <c r="P35" s="8">
        <v>0</v>
      </c>
      <c r="Q35" s="8">
        <v>0</v>
      </c>
      <c r="R35" s="9">
        <f>J35+K35+L35+M35+N35+O35+Q35+183.3</f>
        <v>736.97</v>
      </c>
      <c r="S35" s="9">
        <f t="shared" si="3"/>
        <v>1649.4599999999998</v>
      </c>
      <c r="T35" s="25"/>
    </row>
    <row r="36" spans="1:61" x14ac:dyDescent="0.25">
      <c r="A36" s="10" t="s">
        <v>57</v>
      </c>
      <c r="B36" s="11" t="s">
        <v>11</v>
      </c>
      <c r="C36" s="7">
        <v>2268.5500000000002</v>
      </c>
      <c r="D36" s="8">
        <v>0</v>
      </c>
      <c r="E36" s="9">
        <v>1330.09</v>
      </c>
      <c r="F36" s="8">
        <v>541.11</v>
      </c>
      <c r="G36" s="8">
        <v>172</v>
      </c>
      <c r="H36" s="8">
        <f>184.61+27.35</f>
        <v>211.96</v>
      </c>
      <c r="I36" s="17">
        <f t="shared" si="0"/>
        <v>3810.6000000000004</v>
      </c>
      <c r="J36" s="8">
        <v>419.16</v>
      </c>
      <c r="K36" s="8">
        <v>153.91999999999999</v>
      </c>
      <c r="L36" s="8">
        <v>0</v>
      </c>
      <c r="M36" s="8">
        <v>27.03</v>
      </c>
      <c r="N36" s="8">
        <v>136.11000000000001</v>
      </c>
      <c r="O36" s="8">
        <v>52.98</v>
      </c>
      <c r="P36" s="8">
        <v>0</v>
      </c>
      <c r="Q36" s="8">
        <v>0</v>
      </c>
      <c r="R36" s="9">
        <f t="shared" si="1"/>
        <v>789.2</v>
      </c>
      <c r="S36" s="9">
        <f t="shared" si="3"/>
        <v>3021.4000000000005</v>
      </c>
      <c r="T36" s="25"/>
    </row>
    <row r="37" spans="1:61" x14ac:dyDescent="0.25">
      <c r="A37" s="10" t="s">
        <v>92</v>
      </c>
      <c r="B37" s="11" t="s">
        <v>93</v>
      </c>
      <c r="C37" s="7">
        <v>11395.69</v>
      </c>
      <c r="D37" s="8">
        <v>0</v>
      </c>
      <c r="E37" s="9">
        <v>0</v>
      </c>
      <c r="F37" s="8">
        <v>732.09</v>
      </c>
      <c r="G37" s="8">
        <v>0</v>
      </c>
      <c r="H37" s="8">
        <v>0</v>
      </c>
      <c r="I37" s="17">
        <f t="shared" si="0"/>
        <v>11395.69</v>
      </c>
      <c r="J37" s="8">
        <v>621.03</v>
      </c>
      <c r="K37" s="8">
        <v>2093.67</v>
      </c>
      <c r="L37" s="8">
        <v>0</v>
      </c>
      <c r="M37" s="8">
        <v>36.57</v>
      </c>
      <c r="N37" s="8">
        <v>0</v>
      </c>
      <c r="O37" s="8">
        <v>52.98</v>
      </c>
      <c r="P37" s="8">
        <v>0</v>
      </c>
      <c r="Q37" s="8">
        <v>0</v>
      </c>
      <c r="R37" s="9">
        <f t="shared" si="1"/>
        <v>2804.25</v>
      </c>
      <c r="S37" s="9">
        <f t="shared" si="3"/>
        <v>8591.44</v>
      </c>
      <c r="T37" s="25"/>
    </row>
    <row r="38" spans="1:61" x14ac:dyDescent="0.25">
      <c r="A38" s="10" t="s">
        <v>50</v>
      </c>
      <c r="B38" s="11" t="s">
        <v>51</v>
      </c>
      <c r="C38" s="7">
        <v>3598.64</v>
      </c>
      <c r="D38" s="8">
        <v>0</v>
      </c>
      <c r="E38" s="9">
        <v>0</v>
      </c>
      <c r="F38" s="8">
        <v>732.09</v>
      </c>
      <c r="G38" s="8">
        <v>483</v>
      </c>
      <c r="H38" s="8">
        <f>22.67+3.36</f>
        <v>26.03</v>
      </c>
      <c r="I38" s="17">
        <f t="shared" si="0"/>
        <v>3624.67</v>
      </c>
      <c r="J38" s="8">
        <v>368.45</v>
      </c>
      <c r="K38" s="8">
        <v>92.37</v>
      </c>
      <c r="L38" s="8">
        <f>240.03+35.09</f>
        <v>275.12</v>
      </c>
      <c r="M38" s="8">
        <v>36.57</v>
      </c>
      <c r="N38" s="8">
        <v>215.92</v>
      </c>
      <c r="O38" s="8">
        <v>68.88</v>
      </c>
      <c r="P38" s="8">
        <v>0</v>
      </c>
      <c r="Q38" s="8">
        <v>0</v>
      </c>
      <c r="R38" s="9">
        <f t="shared" si="1"/>
        <v>1057.31</v>
      </c>
      <c r="S38" s="9">
        <f t="shared" si="3"/>
        <v>2567.36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</row>
    <row r="39" spans="1:61" x14ac:dyDescent="0.25">
      <c r="A39" s="10" t="s">
        <v>52</v>
      </c>
      <c r="B39" s="11" t="s">
        <v>11</v>
      </c>
      <c r="C39" s="7">
        <v>1890.5</v>
      </c>
      <c r="D39" s="8">
        <f>378.05+126.88+1.39+0.87+0.33</f>
        <v>507.52</v>
      </c>
      <c r="E39" s="9">
        <v>0</v>
      </c>
      <c r="F39" s="8">
        <v>732.09</v>
      </c>
      <c r="G39" s="8">
        <v>154.80000000000001</v>
      </c>
      <c r="H39" s="8">
        <f>2.04+0.3</f>
        <v>2.34</v>
      </c>
      <c r="I39" s="17">
        <f t="shared" si="0"/>
        <v>2400.36</v>
      </c>
      <c r="J39" s="8">
        <f>175.43+40.6</f>
        <v>216.03</v>
      </c>
      <c r="K39" s="8">
        <v>0</v>
      </c>
      <c r="L39" s="8">
        <v>0</v>
      </c>
      <c r="M39" s="8">
        <v>36.57</v>
      </c>
      <c r="N39" s="8">
        <v>113.43</v>
      </c>
      <c r="O39" s="8">
        <f>37.74+65.43</f>
        <v>103.17000000000002</v>
      </c>
      <c r="P39" s="8">
        <v>403.17</v>
      </c>
      <c r="Q39" s="8">
        <v>466.92</v>
      </c>
      <c r="R39" s="9">
        <f>J39+K39+L39+M39+N39+O39+Q39</f>
        <v>936.12</v>
      </c>
      <c r="S39" s="9">
        <f>((I39-R39)+P39)</f>
        <v>1867.4100000000003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</row>
    <row r="40" spans="1:61" x14ac:dyDescent="0.25">
      <c r="A40" s="19" t="s">
        <v>20</v>
      </c>
      <c r="B40" s="20" t="s">
        <v>67</v>
      </c>
      <c r="C40" s="21">
        <v>2383.35</v>
      </c>
      <c r="D40" s="8">
        <v>0</v>
      </c>
      <c r="E40" s="22">
        <v>4813.93</v>
      </c>
      <c r="F40" s="8">
        <v>732.09</v>
      </c>
      <c r="G40" s="8">
        <v>197.8</v>
      </c>
      <c r="H40" s="8">
        <f>107.97+104.2+31.43</f>
        <v>243.60000000000002</v>
      </c>
      <c r="I40" s="23">
        <f t="shared" si="0"/>
        <v>7440.880000000001</v>
      </c>
      <c r="J40" s="16">
        <v>621.03</v>
      </c>
      <c r="K40" s="16">
        <v>1006.1</v>
      </c>
      <c r="L40" s="8">
        <v>0</v>
      </c>
      <c r="M40" s="8">
        <v>36.57</v>
      </c>
      <c r="N40" s="8">
        <v>143</v>
      </c>
      <c r="O40" s="16">
        <v>0</v>
      </c>
      <c r="P40" s="16">
        <v>0</v>
      </c>
      <c r="Q40" s="8">
        <v>0</v>
      </c>
      <c r="R40" s="22">
        <f>J40+K40+L40+M40+N40+O40+Q40</f>
        <v>1806.7</v>
      </c>
      <c r="S40" s="22">
        <f t="shared" si="3"/>
        <v>5634.1800000000012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</row>
    <row r="41" spans="1:61" s="24" customFormat="1" x14ac:dyDescent="0.25">
      <c r="A41" s="10" t="s">
        <v>60</v>
      </c>
      <c r="B41" s="11" t="s">
        <v>11</v>
      </c>
      <c r="C41" s="12">
        <v>2268.5500000000002</v>
      </c>
      <c r="D41" s="8">
        <v>0</v>
      </c>
      <c r="E41" s="9">
        <v>0</v>
      </c>
      <c r="F41" s="8">
        <v>732.09</v>
      </c>
      <c r="G41" s="8">
        <v>533.6</v>
      </c>
      <c r="H41" s="8">
        <v>0</v>
      </c>
      <c r="I41" s="18">
        <f t="shared" si="0"/>
        <v>2268.5500000000002</v>
      </c>
      <c r="J41" s="9">
        <v>204.16</v>
      </c>
      <c r="K41" s="9">
        <v>12.03</v>
      </c>
      <c r="L41" s="8">
        <v>0</v>
      </c>
      <c r="M41" s="8">
        <v>36.57</v>
      </c>
      <c r="N41" s="8">
        <v>136.11000000000001</v>
      </c>
      <c r="O41" s="9">
        <f>68.88</f>
        <v>68.88</v>
      </c>
      <c r="P41" s="9">
        <v>0</v>
      </c>
      <c r="Q41" s="8">
        <v>0</v>
      </c>
      <c r="R41" s="9">
        <f t="shared" si="1"/>
        <v>457.75</v>
      </c>
      <c r="S41" s="9">
        <f t="shared" si="3"/>
        <v>1810.8000000000002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</row>
    <row r="42" spans="1:61" x14ac:dyDescent="0.25">
      <c r="A42" s="5" t="s">
        <v>46</v>
      </c>
      <c r="B42" s="6" t="s">
        <v>47</v>
      </c>
      <c r="C42" s="7">
        <v>4558.3999999999996</v>
      </c>
      <c r="D42" s="8">
        <f>2639+621.79+1865.63+932.77+44.93+91.53+2.64+20.22</f>
        <v>6218.5100000000011</v>
      </c>
      <c r="E42" s="8">
        <v>0</v>
      </c>
      <c r="F42" s="8">
        <v>636.6</v>
      </c>
      <c r="G42" s="8">
        <v>0</v>
      </c>
      <c r="H42" s="8">
        <f>275.65+574.99+126.02</f>
        <v>976.66</v>
      </c>
      <c r="I42" s="17">
        <f t="shared" si="0"/>
        <v>11753.57</v>
      </c>
      <c r="J42" s="8">
        <f>210.62+410.41</f>
        <v>621.03</v>
      </c>
      <c r="K42" s="8">
        <f>594.86+382.71</f>
        <v>977.56999999999994</v>
      </c>
      <c r="L42" s="8">
        <v>0</v>
      </c>
      <c r="M42" s="8">
        <v>31.8</v>
      </c>
      <c r="N42" s="8">
        <v>0</v>
      </c>
      <c r="O42" s="8">
        <v>52.98</v>
      </c>
      <c r="P42" s="8">
        <v>0</v>
      </c>
      <c r="Q42" s="8">
        <v>5425.39</v>
      </c>
      <c r="R42" s="8">
        <f t="shared" si="1"/>
        <v>7108.77</v>
      </c>
      <c r="S42" s="8">
        <f t="shared" si="3"/>
        <v>4644.7999999999993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</row>
    <row r="43" spans="1:61" x14ac:dyDescent="0.25">
      <c r="A43" s="10" t="s">
        <v>23</v>
      </c>
      <c r="B43" s="11" t="s">
        <v>63</v>
      </c>
      <c r="C43" s="7">
        <f>4603.57+4024.1</f>
        <v>8627.67</v>
      </c>
      <c r="D43" s="8">
        <v>0</v>
      </c>
      <c r="E43" s="9">
        <v>2768.02</v>
      </c>
      <c r="F43" s="8">
        <v>636.6</v>
      </c>
      <c r="G43" s="8">
        <v>0</v>
      </c>
      <c r="H43" s="8">
        <v>0</v>
      </c>
      <c r="I43" s="17">
        <f t="shared" si="0"/>
        <v>11395.69</v>
      </c>
      <c r="J43" s="8">
        <f>393.05+227.98</f>
        <v>621.03</v>
      </c>
      <c r="K43" s="8">
        <v>2041.53</v>
      </c>
      <c r="L43" s="8">
        <v>0</v>
      </c>
      <c r="M43" s="8">
        <v>31.8</v>
      </c>
      <c r="N43" s="8">
        <v>0</v>
      </c>
      <c r="O43" s="8">
        <f>32.82+128.87</f>
        <v>161.69</v>
      </c>
      <c r="P43" s="8">
        <v>0</v>
      </c>
      <c r="Q43" s="8">
        <v>0</v>
      </c>
      <c r="R43" s="9">
        <f t="shared" si="1"/>
        <v>2856.05</v>
      </c>
      <c r="S43" s="9">
        <f t="shared" si="3"/>
        <v>8539.64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x14ac:dyDescent="0.25">
      <c r="A44" s="10" t="s">
        <v>0</v>
      </c>
      <c r="B44" s="11" t="s">
        <v>48</v>
      </c>
      <c r="C44" s="7">
        <v>11395.69</v>
      </c>
      <c r="D44" s="8">
        <v>0</v>
      </c>
      <c r="E44" s="9">
        <v>0</v>
      </c>
      <c r="F44" s="8">
        <v>732.09</v>
      </c>
      <c r="G44" s="8">
        <v>0</v>
      </c>
      <c r="H44" s="8">
        <v>0</v>
      </c>
      <c r="I44" s="17">
        <f t="shared" si="0"/>
        <v>11395.69</v>
      </c>
      <c r="J44" s="8">
        <f>393.14+227.89</f>
        <v>621.03</v>
      </c>
      <c r="K44" s="8">
        <v>2093.67</v>
      </c>
      <c r="L44" s="8">
        <v>0</v>
      </c>
      <c r="M44" s="8">
        <v>36.57</v>
      </c>
      <c r="N44" s="8">
        <v>0</v>
      </c>
      <c r="O44" s="8">
        <f>129.33</f>
        <v>129.33000000000001</v>
      </c>
      <c r="P44" s="8">
        <v>0</v>
      </c>
      <c r="Q44" s="8">
        <v>0</v>
      </c>
      <c r="R44" s="9">
        <f t="shared" si="1"/>
        <v>2880.6</v>
      </c>
      <c r="S44" s="9">
        <f t="shared" si="3"/>
        <v>8515.09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</row>
    <row r="45" spans="1:61" x14ac:dyDescent="0.25">
      <c r="A45" s="10" t="s">
        <v>25</v>
      </c>
      <c r="B45" s="11" t="s">
        <v>13</v>
      </c>
      <c r="C45" s="7">
        <v>3451.07</v>
      </c>
      <c r="D45" s="8">
        <f>5176.73+1735.05+9.32+14.52+4.59</f>
        <v>6940.21</v>
      </c>
      <c r="E45" s="9">
        <v>0</v>
      </c>
      <c r="F45" s="8">
        <v>700.26</v>
      </c>
      <c r="G45" s="8">
        <v>0</v>
      </c>
      <c r="H45" s="8">
        <v>0</v>
      </c>
      <c r="I45" s="17">
        <f t="shared" si="0"/>
        <v>10391.280000000001</v>
      </c>
      <c r="J45" s="8">
        <f>32.68+588.35</f>
        <v>621.03</v>
      </c>
      <c r="K45" s="8">
        <v>157.96</v>
      </c>
      <c r="L45" s="8">
        <v>0</v>
      </c>
      <c r="M45" s="8">
        <v>34.979999999999997</v>
      </c>
      <c r="N45" s="8">
        <v>0</v>
      </c>
      <c r="O45" s="8">
        <f>32.82+39.65</f>
        <v>72.47</v>
      </c>
      <c r="P45" s="8">
        <v>0</v>
      </c>
      <c r="Q45" s="8">
        <v>5344.73</v>
      </c>
      <c r="R45" s="9">
        <f t="shared" si="1"/>
        <v>6231.17</v>
      </c>
      <c r="S45" s="9">
        <f t="shared" si="3"/>
        <v>4160.1100000000006</v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</row>
    <row r="46" spans="1:61" x14ac:dyDescent="0.25">
      <c r="A46" s="10" t="s">
        <v>30</v>
      </c>
      <c r="B46" s="11" t="s">
        <v>11</v>
      </c>
      <c r="C46" s="7">
        <v>2383.35</v>
      </c>
      <c r="D46" s="8">
        <v>0</v>
      </c>
      <c r="E46" s="9">
        <v>0</v>
      </c>
      <c r="F46" s="8">
        <v>732.09</v>
      </c>
      <c r="G46" s="8">
        <v>0</v>
      </c>
      <c r="H46" s="8">
        <f>35.75+21.99+8.55</f>
        <v>66.289999999999992</v>
      </c>
      <c r="I46" s="17">
        <f t="shared" si="0"/>
        <v>2449.64</v>
      </c>
      <c r="J46" s="8">
        <v>220.46</v>
      </c>
      <c r="K46" s="8">
        <v>24.39</v>
      </c>
      <c r="L46" s="8">
        <v>0</v>
      </c>
      <c r="M46" s="8">
        <v>36.57</v>
      </c>
      <c r="N46" s="8">
        <v>0</v>
      </c>
      <c r="O46" s="8">
        <f>28.53+39.65</f>
        <v>68.180000000000007</v>
      </c>
      <c r="P46" s="8">
        <v>0</v>
      </c>
      <c r="Q46" s="8">
        <v>0</v>
      </c>
      <c r="R46" s="9">
        <f t="shared" si="1"/>
        <v>349.6</v>
      </c>
      <c r="S46" s="9">
        <f t="shared" si="3"/>
        <v>2100.04</v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</row>
    <row r="47" spans="1:61" x14ac:dyDescent="0.25">
      <c r="A47" s="10" t="s">
        <v>43</v>
      </c>
      <c r="B47" s="11" t="s">
        <v>44</v>
      </c>
      <c r="C47" s="7">
        <v>2602.16</v>
      </c>
      <c r="D47" s="8">
        <v>0</v>
      </c>
      <c r="E47" s="15">
        <v>5697.5</v>
      </c>
      <c r="F47" s="8">
        <v>732.09</v>
      </c>
      <c r="G47" s="8">
        <v>0</v>
      </c>
      <c r="H47" s="8">
        <f>182.15+167.06+51.73</f>
        <v>400.94000000000005</v>
      </c>
      <c r="I47" s="17">
        <f t="shared" si="0"/>
        <v>8700.6</v>
      </c>
      <c r="J47" s="8">
        <v>621.03</v>
      </c>
      <c r="K47" s="8">
        <v>1352.52</v>
      </c>
      <c r="L47" s="8">
        <v>0</v>
      </c>
      <c r="M47" s="8">
        <v>36.57</v>
      </c>
      <c r="N47" s="8">
        <v>0</v>
      </c>
      <c r="O47" s="14">
        <f>28.53+39.65</f>
        <v>68.180000000000007</v>
      </c>
      <c r="P47" s="14">
        <v>0</v>
      </c>
      <c r="Q47" s="8">
        <v>0</v>
      </c>
      <c r="R47" s="9">
        <f t="shared" si="1"/>
        <v>2078.2999999999997</v>
      </c>
      <c r="S47" s="9">
        <f t="shared" si="3"/>
        <v>6622.3000000000011</v>
      </c>
      <c r="T47" s="25"/>
    </row>
    <row r="48" spans="1:61" x14ac:dyDescent="0.25">
      <c r="A48" s="10" t="s">
        <v>38</v>
      </c>
      <c r="B48" s="11" t="s">
        <v>13</v>
      </c>
      <c r="C48" s="7">
        <v>8294.27</v>
      </c>
      <c r="D48" s="8">
        <v>0</v>
      </c>
      <c r="E48" s="9">
        <v>0</v>
      </c>
      <c r="F48" s="8">
        <v>732.09</v>
      </c>
      <c r="G48" s="8">
        <v>0</v>
      </c>
      <c r="H48" s="8">
        <f>27.99+4.15</f>
        <v>32.14</v>
      </c>
      <c r="I48" s="17">
        <f t="shared" si="0"/>
        <v>8326.41</v>
      </c>
      <c r="J48" s="8">
        <v>621.03</v>
      </c>
      <c r="K48" s="8">
        <v>949.22</v>
      </c>
      <c r="L48" s="8">
        <f>539.13+553.23</f>
        <v>1092.3600000000001</v>
      </c>
      <c r="M48" s="8">
        <v>36.57</v>
      </c>
      <c r="N48" s="8">
        <v>0</v>
      </c>
      <c r="O48" s="8">
        <v>0</v>
      </c>
      <c r="P48" s="8">
        <v>0</v>
      </c>
      <c r="Q48" s="8">
        <v>0</v>
      </c>
      <c r="R48" s="9">
        <f t="shared" si="1"/>
        <v>2699.1800000000003</v>
      </c>
      <c r="S48" s="9">
        <f t="shared" si="3"/>
        <v>5627.23</v>
      </c>
      <c r="T48" s="25"/>
    </row>
    <row r="49" spans="1:20" x14ac:dyDescent="0.25">
      <c r="A49" s="10" t="s">
        <v>14</v>
      </c>
      <c r="B49" s="11" t="s">
        <v>13</v>
      </c>
      <c r="C49" s="7">
        <v>7189.87</v>
      </c>
      <c r="D49" s="8">
        <f>1437.8+504.51+45.94+20.03+9.77</f>
        <v>2018.05</v>
      </c>
      <c r="E49" s="9">
        <v>0</v>
      </c>
      <c r="F49" s="8">
        <v>700.26</v>
      </c>
      <c r="G49" s="8">
        <v>0</v>
      </c>
      <c r="H49" s="8">
        <f>97.06+14.38</f>
        <v>111.44</v>
      </c>
      <c r="I49" s="17">
        <f t="shared" si="0"/>
        <v>9319.36</v>
      </c>
      <c r="J49" s="8">
        <f>439.41+181.62</f>
        <v>621.03</v>
      </c>
      <c r="K49" s="8">
        <v>1017.66</v>
      </c>
      <c r="L49" s="8">
        <v>0</v>
      </c>
      <c r="M49" s="8">
        <v>34.979999999999997</v>
      </c>
      <c r="N49" s="8">
        <v>0</v>
      </c>
      <c r="O49" s="8">
        <v>0</v>
      </c>
      <c r="P49" s="8">
        <v>0</v>
      </c>
      <c r="Q49" s="8">
        <v>1836.43</v>
      </c>
      <c r="R49" s="9">
        <f>J49+K49+L49+M49+N49+O49+Q49</f>
        <v>3510.1000000000004</v>
      </c>
      <c r="S49" s="9">
        <f t="shared" si="3"/>
        <v>5809.26</v>
      </c>
      <c r="T49" s="25"/>
    </row>
    <row r="50" spans="1:20" x14ac:dyDescent="0.25">
      <c r="A50" s="10" t="s">
        <v>81</v>
      </c>
      <c r="B50" s="11" t="s">
        <v>11</v>
      </c>
      <c r="C50" s="7">
        <v>2268.5500000000002</v>
      </c>
      <c r="D50" s="8">
        <v>0</v>
      </c>
      <c r="E50" s="9">
        <v>0</v>
      </c>
      <c r="F50" s="8">
        <v>732.09</v>
      </c>
      <c r="G50" s="8">
        <v>0</v>
      </c>
      <c r="H50" s="8">
        <v>0</v>
      </c>
      <c r="I50" s="17">
        <f t="shared" si="0"/>
        <v>2268.5500000000002</v>
      </c>
      <c r="J50" s="8">
        <v>190.77</v>
      </c>
      <c r="K50" s="8">
        <v>0</v>
      </c>
      <c r="L50" s="8">
        <f>75.66+73.16</f>
        <v>148.82</v>
      </c>
      <c r="M50" s="8">
        <v>36.57</v>
      </c>
      <c r="N50" s="8">
        <v>0</v>
      </c>
      <c r="O50" s="8">
        <f>129.33</f>
        <v>129.33000000000001</v>
      </c>
      <c r="P50" s="8">
        <v>0</v>
      </c>
      <c r="Q50" s="8">
        <v>0</v>
      </c>
      <c r="R50" s="9">
        <f t="shared" si="1"/>
        <v>505.49</v>
      </c>
      <c r="S50" s="9">
        <f t="shared" si="3"/>
        <v>1763.0600000000002</v>
      </c>
      <c r="T50" s="25"/>
    </row>
    <row r="51" spans="1:20" ht="15.75" customHeight="1" x14ac:dyDescent="0.25">
      <c r="A51" s="10" t="s">
        <v>37</v>
      </c>
      <c r="B51" s="11" t="s">
        <v>96</v>
      </c>
      <c r="C51" s="7">
        <v>2291.2399999999998</v>
      </c>
      <c r="D51" s="8">
        <v>0</v>
      </c>
      <c r="E51" s="9">
        <v>1307.4000000000001</v>
      </c>
      <c r="F51" s="8">
        <v>732.09</v>
      </c>
      <c r="G51" s="8">
        <v>512.9</v>
      </c>
      <c r="H51" s="8">
        <v>0</v>
      </c>
      <c r="I51" s="17">
        <f t="shared" si="0"/>
        <v>3598.64</v>
      </c>
      <c r="J51" s="8">
        <v>395.85</v>
      </c>
      <c r="K51" s="8">
        <v>125.62</v>
      </c>
      <c r="L51" s="8">
        <v>0</v>
      </c>
      <c r="M51" s="8">
        <v>36.57</v>
      </c>
      <c r="N51" s="8">
        <v>137.47</v>
      </c>
      <c r="O51" s="8">
        <v>28.53</v>
      </c>
      <c r="P51" s="8">
        <v>0</v>
      </c>
      <c r="Q51" s="8">
        <v>0</v>
      </c>
      <c r="R51" s="9">
        <f t="shared" si="1"/>
        <v>724.04000000000008</v>
      </c>
      <c r="S51" s="9">
        <f t="shared" si="3"/>
        <v>2874.6</v>
      </c>
      <c r="T51" s="25"/>
    </row>
    <row r="52" spans="1:20" ht="15.75" customHeight="1" x14ac:dyDescent="0.25">
      <c r="A52" s="10" t="s">
        <v>94</v>
      </c>
      <c r="B52" s="11" t="s">
        <v>11</v>
      </c>
      <c r="C52" s="7">
        <v>2268.5500000000002</v>
      </c>
      <c r="D52" s="8">
        <v>0</v>
      </c>
      <c r="E52" s="9">
        <v>0</v>
      </c>
      <c r="F52" s="8">
        <v>732.09</v>
      </c>
      <c r="G52" s="8">
        <v>0</v>
      </c>
      <c r="H52" s="8">
        <v>0</v>
      </c>
      <c r="I52" s="17">
        <f t="shared" si="0"/>
        <v>2268.5500000000002</v>
      </c>
      <c r="J52" s="8">
        <v>204.16</v>
      </c>
      <c r="K52" s="8">
        <v>12.03</v>
      </c>
      <c r="L52" s="8">
        <v>0</v>
      </c>
      <c r="M52" s="8">
        <v>36.57</v>
      </c>
      <c r="N52" s="8">
        <v>0</v>
      </c>
      <c r="O52" s="8">
        <v>68.88</v>
      </c>
      <c r="P52" s="8">
        <v>0</v>
      </c>
      <c r="Q52" s="8">
        <v>0</v>
      </c>
      <c r="R52" s="9">
        <f t="shared" si="1"/>
        <v>321.64</v>
      </c>
      <c r="S52" s="9">
        <f t="shared" si="3"/>
        <v>1946.9100000000003</v>
      </c>
    </row>
    <row r="53" spans="1:20" x14ac:dyDescent="0.25">
      <c r="A53" s="10" t="s">
        <v>35</v>
      </c>
      <c r="B53" s="11" t="s">
        <v>11</v>
      </c>
      <c r="C53" s="7">
        <v>2383.35</v>
      </c>
      <c r="D53" s="8">
        <v>0</v>
      </c>
      <c r="E53" s="9">
        <v>1215.29</v>
      </c>
      <c r="F53" s="8">
        <v>350.13</v>
      </c>
      <c r="G53" s="8">
        <v>0</v>
      </c>
      <c r="H53" s="8">
        <f>449.38+66.57</f>
        <v>515.95000000000005</v>
      </c>
      <c r="I53" s="17">
        <f t="shared" si="0"/>
        <v>4114.59</v>
      </c>
      <c r="J53" s="8">
        <v>452.6</v>
      </c>
      <c r="K53" s="8">
        <v>194.5</v>
      </c>
      <c r="L53" s="8">
        <v>0</v>
      </c>
      <c r="M53" s="8">
        <v>17.489999999999998</v>
      </c>
      <c r="N53" s="8">
        <v>0</v>
      </c>
      <c r="O53" s="8">
        <f>28.53+39.65</f>
        <v>68.180000000000007</v>
      </c>
      <c r="P53" s="8">
        <v>0</v>
      </c>
      <c r="Q53" s="8">
        <v>0</v>
      </c>
      <c r="R53" s="9">
        <f t="shared" si="1"/>
        <v>732.77</v>
      </c>
      <c r="S53" s="9">
        <f t="shared" si="3"/>
        <v>3381.82</v>
      </c>
    </row>
    <row r="54" spans="1:20" x14ac:dyDescent="0.25">
      <c r="A54" s="10" t="s">
        <v>21</v>
      </c>
      <c r="B54" s="11" t="s">
        <v>65</v>
      </c>
      <c r="C54" s="7">
        <v>2383.35</v>
      </c>
      <c r="D54" s="8">
        <v>0</v>
      </c>
      <c r="E54" s="9">
        <v>4813.93</v>
      </c>
      <c r="F54" s="8">
        <v>732.09</v>
      </c>
      <c r="G54" s="8">
        <v>0</v>
      </c>
      <c r="H54" s="8">
        <f>217.58+32.23</f>
        <v>249.81</v>
      </c>
      <c r="I54" s="17">
        <f t="shared" si="0"/>
        <v>7447.0900000000011</v>
      </c>
      <c r="J54" s="8">
        <v>621.03</v>
      </c>
      <c r="K54" s="8">
        <v>1007.81</v>
      </c>
      <c r="L54" s="8">
        <v>0</v>
      </c>
      <c r="M54" s="8">
        <v>36.57</v>
      </c>
      <c r="N54" s="8">
        <v>0</v>
      </c>
      <c r="O54" s="8">
        <v>0</v>
      </c>
      <c r="P54" s="8">
        <v>0</v>
      </c>
      <c r="Q54" s="8">
        <v>0</v>
      </c>
      <c r="R54" s="9">
        <f t="shared" si="1"/>
        <v>1665.4099999999999</v>
      </c>
      <c r="S54" s="9">
        <f t="shared" si="3"/>
        <v>5781.6800000000012</v>
      </c>
    </row>
    <row r="55" spans="1:20" x14ac:dyDescent="0.25">
      <c r="A55" s="10" t="s">
        <v>53</v>
      </c>
      <c r="B55" s="11" t="s">
        <v>7</v>
      </c>
      <c r="C55" s="7">
        <v>5204.3100000000004</v>
      </c>
      <c r="D55" s="8">
        <v>0</v>
      </c>
      <c r="E55" s="9">
        <v>0</v>
      </c>
      <c r="F55" s="8">
        <v>732.09</v>
      </c>
      <c r="G55" s="8">
        <v>0</v>
      </c>
      <c r="H55" s="8">
        <f>513.28+76.04</f>
        <v>589.31999999999994</v>
      </c>
      <c r="I55" s="17">
        <f t="shared" si="0"/>
        <v>5793.63</v>
      </c>
      <c r="J55" s="8">
        <v>621.03</v>
      </c>
      <c r="K55" s="8">
        <v>553.11</v>
      </c>
      <c r="L55" s="8">
        <v>0</v>
      </c>
      <c r="M55" s="8">
        <v>36.57</v>
      </c>
      <c r="N55" s="8">
        <v>0</v>
      </c>
      <c r="O55" s="8">
        <f>32.82+39.65</f>
        <v>72.47</v>
      </c>
      <c r="P55" s="8">
        <v>0</v>
      </c>
      <c r="Q55" s="8">
        <v>0</v>
      </c>
      <c r="R55" s="9">
        <f>J55+K55+L55+M55+N55+O55+Q55</f>
        <v>1283.1799999999998</v>
      </c>
      <c r="S55" s="9">
        <f t="shared" si="3"/>
        <v>4510.4500000000007</v>
      </c>
    </row>
    <row r="56" spans="1:20" x14ac:dyDescent="0.25">
      <c r="A56" s="10" t="s">
        <v>58</v>
      </c>
      <c r="B56" s="11" t="s">
        <v>11</v>
      </c>
      <c r="C56" s="7">
        <v>2268.5500000000002</v>
      </c>
      <c r="D56" s="8">
        <v>0</v>
      </c>
      <c r="E56" s="9">
        <v>0</v>
      </c>
      <c r="F56" s="8">
        <v>732.09</v>
      </c>
      <c r="G56" s="8">
        <v>0</v>
      </c>
      <c r="H56" s="8">
        <f>18.21+2.7</f>
        <v>20.91</v>
      </c>
      <c r="I56" s="17">
        <f t="shared" si="0"/>
        <v>2289.46</v>
      </c>
      <c r="J56" s="8">
        <v>206.05</v>
      </c>
      <c r="K56" s="8">
        <v>13.46</v>
      </c>
      <c r="L56" s="8">
        <v>0</v>
      </c>
      <c r="M56" s="8">
        <v>36.57</v>
      </c>
      <c r="N56" s="8">
        <v>0</v>
      </c>
      <c r="O56" s="8">
        <v>68.88</v>
      </c>
      <c r="P56" s="8">
        <v>0</v>
      </c>
      <c r="Q56" s="8">
        <v>0</v>
      </c>
      <c r="R56" s="9">
        <f>J56+K56+L56+M56+N56+O56+Q56</f>
        <v>324.96000000000004</v>
      </c>
      <c r="S56" s="9">
        <f t="shared" si="3"/>
        <v>1964.5</v>
      </c>
    </row>
    <row r="57" spans="1:20" x14ac:dyDescent="0.25">
      <c r="A57" s="10" t="s">
        <v>59</v>
      </c>
      <c r="B57" s="11" t="s">
        <v>62</v>
      </c>
      <c r="C57" s="7">
        <v>8212.15</v>
      </c>
      <c r="D57" s="8">
        <v>0</v>
      </c>
      <c r="E57" s="9">
        <v>6287.85</v>
      </c>
      <c r="F57" s="8">
        <v>732.09</v>
      </c>
      <c r="G57" s="8">
        <v>1100.55</v>
      </c>
      <c r="H57" s="8">
        <v>0</v>
      </c>
      <c r="I57" s="17">
        <f t="shared" si="0"/>
        <v>14500</v>
      </c>
      <c r="J57" s="8">
        <f>354.87+266.16</f>
        <v>621.03</v>
      </c>
      <c r="K57" s="8">
        <v>2947.36</v>
      </c>
      <c r="L57" s="8">
        <v>0</v>
      </c>
      <c r="M57" s="8">
        <v>36.57</v>
      </c>
      <c r="N57" s="8">
        <v>492.73</v>
      </c>
      <c r="O57" s="8">
        <v>43.79</v>
      </c>
      <c r="P57" s="8">
        <v>0</v>
      </c>
      <c r="Q57" s="8">
        <v>0</v>
      </c>
      <c r="R57" s="9">
        <f>J57+K57+L57+M57+N57+O57+Q57</f>
        <v>4141.4800000000005</v>
      </c>
      <c r="S57" s="28">
        <f>((I57-R57)+P57)</f>
        <v>10358.52</v>
      </c>
    </row>
    <row r="58" spans="1:20" x14ac:dyDescent="0.25">
      <c r="A58" s="10" t="s">
        <v>34</v>
      </c>
      <c r="B58" s="11" t="s">
        <v>64</v>
      </c>
      <c r="C58" s="7">
        <v>2383.35</v>
      </c>
      <c r="D58" s="8">
        <v>0</v>
      </c>
      <c r="E58" s="9">
        <v>1215.29</v>
      </c>
      <c r="F58" s="8">
        <v>732.09</v>
      </c>
      <c r="G58" s="8">
        <v>533.6</v>
      </c>
      <c r="H58" s="8">
        <f>53.17+7.88</f>
        <v>61.050000000000004</v>
      </c>
      <c r="I58" s="17">
        <f t="shared" si="0"/>
        <v>3659.69</v>
      </c>
      <c r="J58" s="8">
        <v>402.56</v>
      </c>
      <c r="K58" s="8">
        <v>133.77000000000001</v>
      </c>
      <c r="L58" s="8">
        <v>0</v>
      </c>
      <c r="M58" s="8">
        <v>36.57</v>
      </c>
      <c r="N58" s="8">
        <v>143</v>
      </c>
      <c r="O58" s="8">
        <f>28.53+39.65</f>
        <v>68.180000000000007</v>
      </c>
      <c r="P58" s="8">
        <v>0</v>
      </c>
      <c r="Q58" s="8">
        <v>0</v>
      </c>
      <c r="R58" s="9">
        <f t="shared" si="1"/>
        <v>784.08000000000015</v>
      </c>
      <c r="S58" s="9">
        <f t="shared" si="3"/>
        <v>2875.6099999999997</v>
      </c>
    </row>
    <row r="59" spans="1:20" x14ac:dyDescent="0.25">
      <c r="A59" s="10" t="s">
        <v>32</v>
      </c>
      <c r="B59" s="11" t="s">
        <v>68</v>
      </c>
      <c r="C59" s="7">
        <v>2383.35</v>
      </c>
      <c r="D59" s="8">
        <v>0</v>
      </c>
      <c r="E59" s="9">
        <v>1215.29</v>
      </c>
      <c r="F59" s="8">
        <v>732.09</v>
      </c>
      <c r="G59" s="8">
        <v>0</v>
      </c>
      <c r="H59" s="8">
        <f>4.68+66.67+10.57</f>
        <v>81.919999999999987</v>
      </c>
      <c r="I59" s="17">
        <f t="shared" si="0"/>
        <v>3680.56</v>
      </c>
      <c r="J59" s="8">
        <v>404.86</v>
      </c>
      <c r="K59" s="8">
        <v>136.56</v>
      </c>
      <c r="L59" s="8">
        <v>0</v>
      </c>
      <c r="M59" s="8">
        <v>36.57</v>
      </c>
      <c r="N59" s="8">
        <v>0</v>
      </c>
      <c r="O59" s="8">
        <v>32.82</v>
      </c>
      <c r="P59" s="8">
        <v>0</v>
      </c>
      <c r="Q59" s="8">
        <v>0</v>
      </c>
      <c r="R59" s="9">
        <f t="shared" si="1"/>
        <v>610.81000000000017</v>
      </c>
      <c r="S59" s="9">
        <f t="shared" si="3"/>
        <v>3069.75</v>
      </c>
    </row>
    <row r="60" spans="1:20" x14ac:dyDescent="0.25">
      <c r="A60" s="10" t="s">
        <v>45</v>
      </c>
      <c r="B60" s="11" t="s">
        <v>68</v>
      </c>
      <c r="C60" s="7">
        <v>2268.5500000000002</v>
      </c>
      <c r="D60" s="8">
        <v>0</v>
      </c>
      <c r="E60" s="9">
        <v>1330.09</v>
      </c>
      <c r="F60" s="8">
        <v>732.09</v>
      </c>
      <c r="G60" s="8">
        <v>349.6</v>
      </c>
      <c r="H60" s="8">
        <v>0</v>
      </c>
      <c r="I60" s="17">
        <f t="shared" si="0"/>
        <v>3598.6400000000003</v>
      </c>
      <c r="J60" s="8">
        <v>395.85</v>
      </c>
      <c r="K60" s="8">
        <v>125.62</v>
      </c>
      <c r="L60" s="8">
        <v>0</v>
      </c>
      <c r="M60" s="8">
        <v>36.57</v>
      </c>
      <c r="N60" s="8">
        <v>136.11000000000001</v>
      </c>
      <c r="O60" s="8">
        <f>28.53</f>
        <v>28.53</v>
      </c>
      <c r="P60" s="8">
        <v>0</v>
      </c>
      <c r="Q60" s="8">
        <v>0</v>
      </c>
      <c r="R60" s="9">
        <f>J60+K60+L60+M60+N60+O60+Q60</f>
        <v>722.68000000000006</v>
      </c>
      <c r="S60" s="9">
        <f t="shared" si="3"/>
        <v>2875.96</v>
      </c>
    </row>
    <row r="61" spans="1:20" x14ac:dyDescent="0.25">
      <c r="A61" s="10" t="s">
        <v>22</v>
      </c>
      <c r="B61" s="11" t="s">
        <v>97</v>
      </c>
      <c r="C61" s="7">
        <v>4556.47</v>
      </c>
      <c r="D61" s="8">
        <f>911.25+154.75+464.32+453.66+2.19+12.33+2.79</f>
        <v>2001.29</v>
      </c>
      <c r="E61" s="9">
        <v>1008.84</v>
      </c>
      <c r="F61" s="8">
        <v>732.09</v>
      </c>
      <c r="G61" s="8">
        <v>0</v>
      </c>
      <c r="H61" s="8">
        <v>0</v>
      </c>
      <c r="I61" s="17">
        <f t="shared" si="0"/>
        <v>7566.6</v>
      </c>
      <c r="J61" s="8">
        <f>465.77+155.26</f>
        <v>621.03</v>
      </c>
      <c r="K61" s="8">
        <v>281.2</v>
      </c>
      <c r="L61" s="8">
        <v>13.67</v>
      </c>
      <c r="M61" s="8">
        <v>36.57</v>
      </c>
      <c r="N61" s="8">
        <v>0</v>
      </c>
      <c r="O61" s="8">
        <f>32.82+39.65</f>
        <v>72.47</v>
      </c>
      <c r="P61" s="8">
        <v>0</v>
      </c>
      <c r="Q61" s="8">
        <v>2278.4299999999998</v>
      </c>
      <c r="R61" s="9">
        <f t="shared" si="1"/>
        <v>3303.37</v>
      </c>
      <c r="S61" s="9">
        <f t="shared" si="3"/>
        <v>4263.2300000000005</v>
      </c>
    </row>
    <row r="62" spans="1:20" x14ac:dyDescent="0.25">
      <c r="A62" s="31" t="s">
        <v>89</v>
      </c>
      <c r="B62" s="31"/>
      <c r="C62" s="26">
        <f>SUM(C6:C61)</f>
        <v>282269.92</v>
      </c>
      <c r="D62" s="27">
        <f>SUM(D6:D61)</f>
        <v>31425.439999999999</v>
      </c>
      <c r="E62" s="27">
        <f>SUM(E6:E61)</f>
        <v>38931.549999999996</v>
      </c>
      <c r="F62" s="26">
        <f t="shared" ref="F62:S62" si="4">SUM(F6:F61)</f>
        <v>39175.739999999969</v>
      </c>
      <c r="G62" s="27">
        <f t="shared" si="4"/>
        <v>6120.3000000000011</v>
      </c>
      <c r="H62" s="27">
        <f t="shared" si="4"/>
        <v>8857.19</v>
      </c>
      <c r="I62" s="26">
        <f t="shared" si="4"/>
        <v>361484.10000000003</v>
      </c>
      <c r="J62" s="27">
        <f t="shared" si="4"/>
        <v>26677.319999999985</v>
      </c>
      <c r="K62" s="27">
        <f t="shared" si="4"/>
        <v>41968.099999999984</v>
      </c>
      <c r="L62" s="26">
        <f t="shared" si="4"/>
        <v>2136.3200000000002</v>
      </c>
      <c r="M62" s="27">
        <f t="shared" si="4"/>
        <v>1973.1899999999991</v>
      </c>
      <c r="N62" s="27">
        <f t="shared" si="4"/>
        <v>3222.04</v>
      </c>
      <c r="O62" s="26">
        <f t="shared" si="4"/>
        <v>3605.869999999999</v>
      </c>
      <c r="P62" s="27">
        <f t="shared" si="4"/>
        <v>1612.68</v>
      </c>
      <c r="Q62" s="27">
        <f t="shared" si="4"/>
        <v>26544.77</v>
      </c>
      <c r="R62" s="26">
        <f t="shared" si="4"/>
        <v>109956.02</v>
      </c>
      <c r="S62" s="27">
        <f t="shared" si="4"/>
        <v>253140.75999999992</v>
      </c>
    </row>
  </sheetData>
  <mergeCells count="3">
    <mergeCell ref="A3:S3"/>
    <mergeCell ref="A4:S4"/>
    <mergeCell ref="A62:B62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Cristina Espíndola Romor Vargas</cp:lastModifiedBy>
  <cp:lastPrinted>2018-11-05T14:02:53Z</cp:lastPrinted>
  <dcterms:created xsi:type="dcterms:W3CDTF">2015-04-01T12:17:47Z</dcterms:created>
  <dcterms:modified xsi:type="dcterms:W3CDTF">2018-11-05T14:02:58Z</dcterms:modified>
</cp:coreProperties>
</file>