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Portal Transparência\2018\"/>
    </mc:Choice>
  </mc:AlternateContent>
  <bookViews>
    <workbookView xWindow="-15" yWindow="345" windowWidth="28830" windowHeight="12495"/>
  </bookViews>
  <sheets>
    <sheet name="SETEMBRO 2018" sheetId="29" r:id="rId1"/>
  </sheets>
  <calcPr calcId="152511"/>
</workbook>
</file>

<file path=xl/calcChain.xml><?xml version="1.0" encoding="utf-8"?>
<calcChain xmlns="http://schemas.openxmlformats.org/spreadsheetml/2006/main">
  <c r="H59" i="29" l="1"/>
  <c r="R57" i="29"/>
  <c r="L57" i="29"/>
  <c r="K57" i="29"/>
  <c r="J57" i="29"/>
  <c r="D57" i="29"/>
  <c r="C57" i="29"/>
  <c r="O53" i="29"/>
  <c r="L53" i="29"/>
  <c r="H48" i="29"/>
  <c r="O48" i="29"/>
  <c r="O27" i="29"/>
  <c r="H27" i="29"/>
  <c r="O61" i="29"/>
  <c r="J61" i="29"/>
  <c r="H61" i="29"/>
  <c r="D61" i="29"/>
  <c r="J56" i="29"/>
  <c r="H56" i="29"/>
  <c r="D56" i="29"/>
  <c r="J52" i="29"/>
  <c r="H52" i="29"/>
  <c r="D52" i="29"/>
  <c r="O46" i="29"/>
  <c r="K46" i="29"/>
  <c r="J46" i="29"/>
  <c r="D46" i="29"/>
  <c r="H39" i="29"/>
  <c r="O36" i="29"/>
  <c r="K36" i="29"/>
  <c r="J36" i="29"/>
  <c r="H36" i="29"/>
  <c r="D36" i="29"/>
  <c r="O20" i="29"/>
  <c r="H20" i="29"/>
  <c r="H16" i="29"/>
  <c r="R10" i="29"/>
  <c r="I10" i="29"/>
  <c r="S10" i="29" s="1"/>
  <c r="O9" i="29"/>
  <c r="H9" i="29"/>
  <c r="C9" i="29"/>
  <c r="H8" i="29"/>
  <c r="H62" i="29"/>
  <c r="O58" i="29"/>
  <c r="H58" i="29"/>
  <c r="H55" i="29"/>
  <c r="O54" i="29"/>
  <c r="H54" i="29"/>
  <c r="H51" i="29"/>
  <c r="O50" i="29"/>
  <c r="H50" i="29"/>
  <c r="H49" i="29"/>
  <c r="O47" i="29"/>
  <c r="K45" i="29"/>
  <c r="J45" i="29"/>
  <c r="H45" i="29"/>
  <c r="D45" i="29"/>
  <c r="H43" i="29"/>
  <c r="O41" i="29"/>
  <c r="H41" i="29"/>
  <c r="R38" i="29"/>
  <c r="O38" i="29"/>
  <c r="H38" i="29"/>
  <c r="O35" i="29"/>
  <c r="O34" i="29"/>
  <c r="H34" i="29"/>
  <c r="J31" i="29"/>
  <c r="H31" i="29"/>
  <c r="D31" i="29"/>
  <c r="H30" i="29"/>
  <c r="O29" i="29"/>
  <c r="O24" i="29"/>
  <c r="H24" i="29"/>
  <c r="O22" i="29"/>
  <c r="H22" i="29"/>
  <c r="H21" i="29"/>
  <c r="O19" i="29"/>
  <c r="J19" i="29"/>
  <c r="D19" i="29"/>
  <c r="O18" i="29"/>
  <c r="H17" i="29"/>
  <c r="O15" i="29"/>
  <c r="H14" i="29"/>
  <c r="R13" i="29"/>
  <c r="O13" i="29"/>
  <c r="H13" i="29"/>
  <c r="O11" i="29"/>
  <c r="O7" i="29"/>
  <c r="R37" i="29" l="1"/>
  <c r="I37" i="29"/>
  <c r="S37" i="29" l="1"/>
  <c r="I12" i="29"/>
  <c r="R12" i="29"/>
  <c r="S12" i="29" s="1"/>
  <c r="Q65" i="29" l="1"/>
  <c r="P65" i="29"/>
  <c r="M65" i="29"/>
  <c r="G65" i="29"/>
  <c r="F65" i="29"/>
  <c r="E65" i="29"/>
  <c r="O64" i="29"/>
  <c r="J64" i="29"/>
  <c r="R64" i="29" s="1"/>
  <c r="I64" i="29"/>
  <c r="R63" i="29"/>
  <c r="O63" i="29"/>
  <c r="I63" i="29"/>
  <c r="R62" i="29"/>
  <c r="I62" i="29"/>
  <c r="R61" i="29"/>
  <c r="I61" i="29"/>
  <c r="J60" i="29"/>
  <c r="R60" i="29" s="1"/>
  <c r="I60" i="29"/>
  <c r="R59" i="29"/>
  <c r="I59" i="29"/>
  <c r="R58" i="29"/>
  <c r="I58" i="29"/>
  <c r="I57" i="29"/>
  <c r="O56" i="29"/>
  <c r="R56" i="29" s="1"/>
  <c r="I56" i="29"/>
  <c r="R55" i="29"/>
  <c r="I55" i="29"/>
  <c r="R54" i="29"/>
  <c r="I54" i="29"/>
  <c r="R53" i="29"/>
  <c r="I53" i="29"/>
  <c r="R52" i="29"/>
  <c r="I52" i="29"/>
  <c r="R51" i="29"/>
  <c r="I51" i="29"/>
  <c r="R50" i="29"/>
  <c r="I50" i="29"/>
  <c r="O49" i="29"/>
  <c r="R49" i="29" s="1"/>
  <c r="I49" i="29"/>
  <c r="R48" i="29"/>
  <c r="J48" i="29"/>
  <c r="I48" i="29"/>
  <c r="J47" i="29"/>
  <c r="R47" i="29" s="1"/>
  <c r="I47" i="29"/>
  <c r="R46" i="29"/>
  <c r="I46" i="29"/>
  <c r="R45" i="29"/>
  <c r="I45" i="29"/>
  <c r="O44" i="29"/>
  <c r="R44" i="29" s="1"/>
  <c r="I44" i="29"/>
  <c r="R43" i="29"/>
  <c r="I43" i="29"/>
  <c r="O42" i="29"/>
  <c r="R42" i="29" s="1"/>
  <c r="I42" i="29"/>
  <c r="R41" i="29"/>
  <c r="I41" i="29"/>
  <c r="R40" i="29"/>
  <c r="I40" i="29"/>
  <c r="R39" i="29"/>
  <c r="I39" i="29"/>
  <c r="I38" i="29"/>
  <c r="R36" i="29"/>
  <c r="I36" i="29"/>
  <c r="R35" i="29"/>
  <c r="I35" i="29"/>
  <c r="R34" i="29"/>
  <c r="I34" i="29"/>
  <c r="R33" i="29"/>
  <c r="I33" i="29"/>
  <c r="R32" i="29"/>
  <c r="I32" i="29"/>
  <c r="O31" i="29"/>
  <c r="R31" i="29" s="1"/>
  <c r="I31" i="29"/>
  <c r="R30" i="29"/>
  <c r="I30" i="29"/>
  <c r="R29" i="29"/>
  <c r="I29" i="29"/>
  <c r="N65" i="29"/>
  <c r="I28" i="29"/>
  <c r="R27" i="29"/>
  <c r="I27" i="29"/>
  <c r="R26" i="29"/>
  <c r="I26" i="29"/>
  <c r="R25" i="29"/>
  <c r="I25" i="29"/>
  <c r="R24" i="29"/>
  <c r="I24" i="29"/>
  <c r="O23" i="29"/>
  <c r="R23" i="29" s="1"/>
  <c r="I23" i="29"/>
  <c r="R22" i="29"/>
  <c r="I22" i="29"/>
  <c r="O21" i="29"/>
  <c r="R21" i="29"/>
  <c r="I21" i="29"/>
  <c r="R20" i="29"/>
  <c r="I20" i="29"/>
  <c r="R19" i="29"/>
  <c r="I19" i="29"/>
  <c r="R18" i="29"/>
  <c r="J18" i="29"/>
  <c r="I18" i="29"/>
  <c r="R17" i="29"/>
  <c r="I17" i="29"/>
  <c r="R16" i="29"/>
  <c r="O16" i="29"/>
  <c r="J16" i="29"/>
  <c r="I16" i="29"/>
  <c r="O65" i="29"/>
  <c r="J15" i="29"/>
  <c r="I15" i="29"/>
  <c r="R14" i="29"/>
  <c r="O14" i="29"/>
  <c r="I14" i="29"/>
  <c r="L65" i="29"/>
  <c r="K65" i="29"/>
  <c r="D65" i="29"/>
  <c r="C65" i="29"/>
  <c r="R11" i="29"/>
  <c r="H65" i="29"/>
  <c r="R9" i="29"/>
  <c r="I9" i="29"/>
  <c r="O8" i="29"/>
  <c r="J8" i="29"/>
  <c r="R8" i="29" s="1"/>
  <c r="I8" i="29"/>
  <c r="R7" i="29"/>
  <c r="J7" i="29"/>
  <c r="J65" i="29" s="1"/>
  <c r="I7" i="29"/>
  <c r="R6" i="29"/>
  <c r="S6" i="29" s="1"/>
  <c r="I6" i="29"/>
  <c r="S19" i="29" l="1"/>
  <c r="S7" i="29"/>
  <c r="S60" i="29"/>
  <c r="S20" i="29"/>
  <c r="S39" i="29"/>
  <c r="S41" i="29"/>
  <c r="S44" i="29"/>
  <c r="S50" i="29"/>
  <c r="S29" i="29"/>
  <c r="S46" i="29"/>
  <c r="S9" i="29"/>
  <c r="S22" i="29"/>
  <c r="S24" i="29"/>
  <c r="S26" i="29"/>
  <c r="S30" i="29"/>
  <c r="S34" i="29"/>
  <c r="S38" i="29"/>
  <c r="S43" i="29"/>
  <c r="S54" i="29"/>
  <c r="S58" i="29"/>
  <c r="S8" i="29"/>
  <c r="S17" i="29"/>
  <c r="S21" i="29"/>
  <c r="S40" i="29"/>
  <c r="S49" i="29"/>
  <c r="S51" i="29"/>
  <c r="S62" i="29"/>
  <c r="S36" i="29"/>
  <c r="S45" i="29"/>
  <c r="S16" i="29"/>
  <c r="S42" i="29"/>
  <c r="S14" i="29"/>
  <c r="S25" i="29"/>
  <c r="S27" i="29"/>
  <c r="S31" i="29"/>
  <c r="S33" i="29"/>
  <c r="S35" i="29"/>
  <c r="S55" i="29"/>
  <c r="S57" i="29"/>
  <c r="S59" i="29"/>
  <c r="S61" i="29"/>
  <c r="S32" i="29"/>
  <c r="S63" i="29"/>
  <c r="S53" i="29"/>
  <c r="S56" i="29"/>
  <c r="S48" i="29"/>
  <c r="S18" i="29"/>
  <c r="S23" i="29"/>
  <c r="S47" i="29"/>
  <c r="S52" i="29"/>
  <c r="S64" i="29"/>
  <c r="I11" i="29"/>
  <c r="S11" i="29" s="1"/>
  <c r="R15" i="29"/>
  <c r="S15" i="29" s="1"/>
  <c r="I13" i="29"/>
  <c r="S13" i="29" s="1"/>
  <c r="R28" i="29"/>
  <c r="S28" i="29" s="1"/>
  <c r="R65" i="29" l="1"/>
  <c r="S65" i="29"/>
  <c r="I65" i="29"/>
</calcChain>
</file>

<file path=xl/sharedStrings.xml><?xml version="1.0" encoding="utf-8"?>
<sst xmlns="http://schemas.openxmlformats.org/spreadsheetml/2006/main" count="139" uniqueCount="108">
  <si>
    <t>Marindia Izabel Girardello</t>
  </si>
  <si>
    <t>Cheila da Silva Chagas</t>
  </si>
  <si>
    <t>Gerente Financeiro</t>
  </si>
  <si>
    <t>Carla Ribeiro de Carvalho</t>
  </si>
  <si>
    <t>Gerente Administrativo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</si>
  <si>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</si>
  <si>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</si>
  <si>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</si>
  <si>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</si>
  <si>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</si>
  <si>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</si>
  <si>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</si>
  <si>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</si>
  <si>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</si>
  <si>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</si>
  <si>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</si>
  <si>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</si>
  <si>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</si>
  <si>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</si>
  <si>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</si>
  <si>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</si>
  <si>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Simone Nunes Perotto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</si>
  <si>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</si>
  <si>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</si>
  <si>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</si>
  <si>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</si>
  <si>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</si>
  <si>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</si>
  <si>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</si>
  <si>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</si>
  <si>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</si>
  <si>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Karla Ronsoni Riet</t>
  </si>
  <si>
    <t>Thiago dos Santos Albrecht</t>
  </si>
  <si>
    <t>Harim Pires Beserra</t>
  </si>
  <si>
    <t>Thaís Cristina da Luz</t>
  </si>
  <si>
    <t>Sérgio Nei Roschild Bastos</t>
  </si>
  <si>
    <t>Denise Maria da Costa Lima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</si>
  <si>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</si>
  <si>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</si>
  <si>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</si>
  <si>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</si>
  <si>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</si>
  <si>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</si>
  <si>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</si>
  <si>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</si>
  <si>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Vanessa Just Blanco</t>
  </si>
  <si>
    <t>Marcia Pedrini</t>
  </si>
  <si>
    <t>Coordenadora de TI</t>
  </si>
  <si>
    <t>Gerente Técnico</t>
  </si>
  <si>
    <t>Gabriela Belnhak Moraes</t>
  </si>
  <si>
    <t>Luis Carlos Lopes</t>
  </si>
  <si>
    <t>Supervisor de Almoxarifado e Apoio</t>
  </si>
  <si>
    <t>Luis Fernando Baldissera</t>
  </si>
  <si>
    <t>Suzana Rahde Gerchmann</t>
  </si>
  <si>
    <t>Elaine Aparecida Schaurich</t>
  </si>
  <si>
    <t>Bianca Teixeira Serafim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</si>
  <si>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</si>
  <si>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</si>
  <si>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</si>
  <si>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</si>
  <si>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</si>
  <si>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</si>
  <si>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</si>
  <si>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Gerente de Atendimento e Fiscalização</t>
  </si>
  <si>
    <t>Supervisora de Fiscalização</t>
  </si>
  <si>
    <t>Coordenadora de Atendimento, PF e PJ</t>
  </si>
  <si>
    <t>Coordenador Jurídico</t>
  </si>
  <si>
    <t>Coordenadora de Comunicação</t>
  </si>
  <si>
    <t>Supervisor de Licitações e Compras</t>
  </si>
  <si>
    <t>SALÁRIO BÁSICO</t>
  </si>
  <si>
    <t>CARGO</t>
  </si>
  <si>
    <t>FÉRIAS + 1/3</t>
  </si>
  <si>
    <t>GRATIFI-CAÇÃO</t>
  </si>
  <si>
    <t>VALE REFEIÇÃO</t>
  </si>
  <si>
    <t>VALE TRANSPORTE</t>
  </si>
  <si>
    <t>HORAS EXTRAS</t>
  </si>
  <si>
    <t>I.N.S.S.</t>
  </si>
  <si>
    <t>FALTAS</t>
  </si>
  <si>
    <t>DESC. VALE REFEIÇÃO</t>
  </si>
  <si>
    <t>DESC. VALE TRANSPORTE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</si>
  <si>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</si>
  <si>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</si>
  <si>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</si>
  <si>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</si>
  <si>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</si>
  <si>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</si>
  <si>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</si>
  <si>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>AUXÍLIO CRECHE</t>
  </si>
  <si>
    <t>DESC. CONV. MÉDICO</t>
  </si>
  <si>
    <t xml:space="preserve">TOTAL  </t>
  </si>
  <si>
    <t>Clarissa Wolff Pierry</t>
  </si>
  <si>
    <t>Cristina Espindola Romor Vargas</t>
  </si>
  <si>
    <t>Luciano Antunes de Oliveira</t>
  </si>
  <si>
    <t>Gerente de Comunicação</t>
  </si>
  <si>
    <t>Sandra Maria de Freitas Carvalho</t>
  </si>
  <si>
    <t>Secretária Geral da Mesa</t>
  </si>
  <si>
    <t>Supervisora de Ética</t>
  </si>
  <si>
    <t>Coordenador de Planejamento</t>
  </si>
  <si>
    <t>Gelson Luiz Benatti</t>
  </si>
  <si>
    <t>Gerente de Planejamento</t>
  </si>
  <si>
    <t>Fausto Leiria Loureiro</t>
  </si>
  <si>
    <t>Chefe de Gabinete</t>
  </si>
  <si>
    <t>Cleci Luciano Vargas</t>
  </si>
  <si>
    <t>FOLHA DE PAGAMENTO - SETEMBRO 2018</t>
  </si>
  <si>
    <t>Bruna Salton</t>
  </si>
  <si>
    <t>Assistente de Atendimento e Fiscalização</t>
  </si>
  <si>
    <t>Laura Rita Rui</t>
  </si>
  <si>
    <t>Ataídes Francisco Pereira Farsen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</si>
</sst>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164" fontId="3" fillId="2" borderId="2" xfId="0" applyNumberFormat="1" applyFont="1" applyFill="1" applyBorder="1" applyAlignment="1">
      <alignment horizontal="center"/>
    </xf>
    <xf numFmtId="44" fontId="0" fillId="2" borderId="2" xfId="0" applyNumberFormat="1" applyFont="1" applyFill="1" applyBorder="1" applyAlignment="1">
      <alignment horizontal="left"/>
    </xf>
    <xf numFmtId="44" fontId="0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44" fontId="0" fillId="2" borderId="2" xfId="1" applyFont="1" applyFill="1" applyBorder="1"/>
    <xf numFmtId="44" fontId="0" fillId="2" borderId="2" xfId="1" applyFont="1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44" fontId="0" fillId="2" borderId="4" xfId="0" applyNumberFormat="1" applyFont="1" applyFill="1" applyBorder="1" applyAlignment="1">
      <alignment horizontal="left"/>
    </xf>
    <xf numFmtId="164" fontId="0" fillId="2" borderId="2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center"/>
    </xf>
    <xf numFmtId="44" fontId="0" fillId="2" borderId="5" xfId="0" applyNumberFormat="1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right"/>
    </xf>
    <xf numFmtId="0" fontId="0" fillId="2" borderId="1" xfId="0" applyFill="1" applyBorder="1"/>
    <xf numFmtId="0" fontId="0" fillId="2" borderId="0" xfId="0" applyFill="1" applyBorder="1"/>
    <xf numFmtId="164" fontId="0" fillId="2" borderId="1" xfId="0" applyNumberFormat="1" applyFont="1" applyFill="1" applyBorder="1"/>
    <xf numFmtId="44" fontId="0" fillId="2" borderId="1" xfId="0" applyNumberFormat="1" applyFont="1" applyFill="1" applyBorder="1"/>
    <xf numFmtId="44" fontId="0" fillId="2" borderId="1" xfId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65"/>
  <sheetViews>
    <sheetView tabSelected="1" zoomScaleNormal="100" workbookViewId="0">
      <selection activeCell="N61" sqref="N61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2.7109375" style="1" bestFit="1" customWidth="1"/>
    <col min="4" max="4" width="13.28515625" style="1" customWidth="1"/>
    <col min="5" max="5" width="13.28515625" style="1" bestFit="1" customWidth="1"/>
    <col min="6" max="6" width="12.140625" style="1" bestFit="1" customWidth="1"/>
    <col min="7" max="7" width="13.140625" style="1" customWidth="1"/>
    <col min="8" max="8" width="12.140625" style="1" bestFit="1" customWidth="1"/>
    <col min="9" max="9" width="13.28515625" style="1" bestFit="1" customWidth="1"/>
    <col min="10" max="10" width="15.42578125" style="1" customWidth="1"/>
    <col min="11" max="11" width="13.28515625" style="1" bestFit="1" customWidth="1"/>
    <col min="12" max="12" width="12.140625" style="1" bestFit="1" customWidth="1"/>
    <col min="13" max="13" width="12.28515625" style="1" customWidth="1"/>
    <col min="14" max="14" width="12.5703125" style="1" customWidth="1"/>
    <col min="15" max="15" width="12.7109375" style="1" customWidth="1"/>
    <col min="16" max="16" width="12.5703125" style="1" customWidth="1"/>
    <col min="17" max="18" width="13.28515625" style="1" bestFit="1" customWidth="1"/>
    <col min="19" max="19" width="17" style="1" customWidth="1"/>
    <col min="20" max="16384" width="73" style="1"/>
  </cols>
  <sheetData>
    <row r="3" spans="1:19" ht="21" x14ac:dyDescent="0.35">
      <c r="A3" s="29" t="s">
        <v>103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35.25" customHeight="1" thickBot="1" x14ac:dyDescent="0.3">
      <c r="A5" s="2" t="s">
        <v>39</v>
      </c>
      <c r="B5" s="2" t="s">
        <v>70</v>
      </c>
      <c r="C5" s="3" t="s">
        <v>69</v>
      </c>
      <c r="D5" s="3" t="s">
        <v>71</v>
      </c>
      <c r="E5" s="3" t="s">
        <v>72</v>
      </c>
      <c r="F5" s="3" t="s">
        <v>73</v>
      </c>
      <c r="G5" s="4" t="s">
        <v>74</v>
      </c>
      <c r="H5" s="3" t="s">
        <v>75</v>
      </c>
      <c r="I5" s="3" t="s">
        <v>61</v>
      </c>
      <c r="J5" s="3" t="s">
        <v>76</v>
      </c>
      <c r="K5" s="3" t="s">
        <v>86</v>
      </c>
      <c r="L5" s="3" t="s">
        <v>77</v>
      </c>
      <c r="M5" s="3" t="s">
        <v>78</v>
      </c>
      <c r="N5" s="3" t="s">
        <v>79</v>
      </c>
      <c r="O5" s="3" t="s">
        <v>88</v>
      </c>
      <c r="P5" s="3" t="s">
        <v>87</v>
      </c>
      <c r="Q5" s="3" t="s">
        <v>80</v>
      </c>
      <c r="R5" s="3" t="s">
        <v>40</v>
      </c>
      <c r="S5" s="3" t="s">
        <v>41</v>
      </c>
    </row>
    <row r="6" spans="1:19" x14ac:dyDescent="0.25">
      <c r="A6" s="5" t="s">
        <v>27</v>
      </c>
      <c r="B6" s="6" t="s">
        <v>28</v>
      </c>
      <c r="C6" s="7">
        <v>2383.35</v>
      </c>
      <c r="D6" s="8">
        <v>0</v>
      </c>
      <c r="E6" s="8">
        <v>0</v>
      </c>
      <c r="F6" s="8">
        <v>636.6</v>
      </c>
      <c r="G6" s="8">
        <v>88.35</v>
      </c>
      <c r="H6" s="8">
        <v>0</v>
      </c>
      <c r="I6" s="17">
        <f>C6+D6+E6+H6</f>
        <v>2383.35</v>
      </c>
      <c r="J6" s="8">
        <v>214.5</v>
      </c>
      <c r="K6" s="8">
        <v>19.86</v>
      </c>
      <c r="L6" s="8">
        <v>0</v>
      </c>
      <c r="M6" s="8">
        <v>31.8</v>
      </c>
      <c r="N6" s="8">
        <v>88.35</v>
      </c>
      <c r="O6" s="8">
        <v>28.53</v>
      </c>
      <c r="P6" s="8">
        <v>0</v>
      </c>
      <c r="Q6" s="8">
        <v>0</v>
      </c>
      <c r="R6" s="9">
        <f>J6+K6+L6+M6+N6+O6+Q6</f>
        <v>383.03999999999996</v>
      </c>
      <c r="S6" s="9">
        <f t="shared" ref="S6:S12" si="0">I6-R6</f>
        <v>2000.31</v>
      </c>
    </row>
    <row r="7" spans="1:19" x14ac:dyDescent="0.25">
      <c r="A7" s="10" t="s">
        <v>6</v>
      </c>
      <c r="B7" s="11" t="s">
        <v>82</v>
      </c>
      <c r="C7" s="7">
        <v>5467.66</v>
      </c>
      <c r="D7" s="8">
        <v>0</v>
      </c>
      <c r="E7" s="9">
        <v>5928.03</v>
      </c>
      <c r="F7" s="8">
        <v>636.6</v>
      </c>
      <c r="G7" s="8">
        <v>0</v>
      </c>
      <c r="H7" s="8">
        <v>0</v>
      </c>
      <c r="I7" s="17">
        <f t="shared" ref="I7:I64" si="1">C7+D7+E7+H7</f>
        <v>11395.689999999999</v>
      </c>
      <c r="J7" s="8">
        <f>31.94+589.09</f>
        <v>621.03000000000009</v>
      </c>
      <c r="K7" s="8">
        <v>2093.67</v>
      </c>
      <c r="L7" s="8">
        <v>0</v>
      </c>
      <c r="M7" s="8">
        <v>31.8</v>
      </c>
      <c r="N7" s="8">
        <v>0</v>
      </c>
      <c r="O7" s="8">
        <f>37.74+270.05</f>
        <v>307.79000000000002</v>
      </c>
      <c r="P7" s="8">
        <v>0</v>
      </c>
      <c r="Q7" s="8">
        <v>0</v>
      </c>
      <c r="R7" s="9">
        <f t="shared" ref="R7:R64" si="2">J7+K7+L7+M7+N7+O7+Q7</f>
        <v>3054.2900000000004</v>
      </c>
      <c r="S7" s="9">
        <f t="shared" si="0"/>
        <v>8341.3999999999978</v>
      </c>
    </row>
    <row r="8" spans="1:19" x14ac:dyDescent="0.25">
      <c r="A8" s="10" t="s">
        <v>83</v>
      </c>
      <c r="B8" s="11" t="s">
        <v>13</v>
      </c>
      <c r="C8" s="7">
        <v>8212.15</v>
      </c>
      <c r="D8" s="8">
        <v>0</v>
      </c>
      <c r="E8" s="8">
        <v>0</v>
      </c>
      <c r="F8" s="8">
        <v>318.3</v>
      </c>
      <c r="G8" s="8">
        <v>0</v>
      </c>
      <c r="H8" s="8">
        <f>2.46+266.07+81.73</f>
        <v>350.26</v>
      </c>
      <c r="I8" s="17">
        <f t="shared" si="1"/>
        <v>8562.41</v>
      </c>
      <c r="J8" s="8">
        <f>452.69+168.34</f>
        <v>621.03</v>
      </c>
      <c r="K8" s="8">
        <v>1314.52</v>
      </c>
      <c r="L8" s="8">
        <v>0</v>
      </c>
      <c r="M8" s="8">
        <v>15.9</v>
      </c>
      <c r="N8" s="8">
        <v>0</v>
      </c>
      <c r="O8" s="8">
        <f>32.82</f>
        <v>32.82</v>
      </c>
      <c r="P8" s="8">
        <v>0</v>
      </c>
      <c r="Q8" s="8">
        <v>0</v>
      </c>
      <c r="R8" s="9">
        <f t="shared" si="2"/>
        <v>1984.27</v>
      </c>
      <c r="S8" s="9">
        <f t="shared" si="0"/>
        <v>6578.1399999999994</v>
      </c>
    </row>
    <row r="9" spans="1:19" x14ac:dyDescent="0.25">
      <c r="A9" s="10" t="s">
        <v>12</v>
      </c>
      <c r="B9" s="11" t="s">
        <v>13</v>
      </c>
      <c r="C9" s="7">
        <f>6614.83+2658.99</f>
        <v>9273.82</v>
      </c>
      <c r="D9" s="8">
        <v>0</v>
      </c>
      <c r="E9" s="8">
        <v>0</v>
      </c>
      <c r="F9" s="8">
        <v>636.6</v>
      </c>
      <c r="G9" s="8">
        <v>0</v>
      </c>
      <c r="H9" s="8">
        <f>28.47+282.77+94.73</f>
        <v>405.97</v>
      </c>
      <c r="I9" s="17">
        <f t="shared" si="1"/>
        <v>9679.7899999999991</v>
      </c>
      <c r="J9" s="8">
        <v>621.03</v>
      </c>
      <c r="K9" s="8">
        <v>1621.8</v>
      </c>
      <c r="L9" s="8">
        <v>0</v>
      </c>
      <c r="M9" s="8">
        <v>31.8</v>
      </c>
      <c r="N9" s="8">
        <v>0</v>
      </c>
      <c r="O9" s="8">
        <f>28.53+39.65</f>
        <v>68.180000000000007</v>
      </c>
      <c r="P9" s="8">
        <v>0</v>
      </c>
      <c r="Q9" s="8">
        <v>0</v>
      </c>
      <c r="R9" s="9">
        <f t="shared" si="2"/>
        <v>2342.81</v>
      </c>
      <c r="S9" s="9">
        <f t="shared" si="0"/>
        <v>7336.98</v>
      </c>
    </row>
    <row r="10" spans="1:19" x14ac:dyDescent="0.25">
      <c r="A10" s="10" t="s">
        <v>107</v>
      </c>
      <c r="B10" s="11" t="s">
        <v>105</v>
      </c>
      <c r="C10" s="7">
        <v>1072.4000000000001</v>
      </c>
      <c r="D10" s="8">
        <v>0</v>
      </c>
      <c r="E10" s="9">
        <v>0</v>
      </c>
      <c r="F10" s="8">
        <v>477.45</v>
      </c>
      <c r="G10" s="8">
        <v>0</v>
      </c>
      <c r="H10" s="8">
        <v>0</v>
      </c>
      <c r="I10" s="17">
        <f t="shared" si="1"/>
        <v>1072.4000000000001</v>
      </c>
      <c r="J10" s="8">
        <v>85.79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9">
        <f t="shared" si="2"/>
        <v>85.79</v>
      </c>
      <c r="S10" s="9">
        <f t="shared" si="0"/>
        <v>986.61000000000013</v>
      </c>
    </row>
    <row r="11" spans="1:19" x14ac:dyDescent="0.25">
      <c r="A11" s="10" t="s">
        <v>55</v>
      </c>
      <c r="B11" s="11" t="s">
        <v>11</v>
      </c>
      <c r="C11" s="7">
        <v>2268.5500000000002</v>
      </c>
      <c r="D11" s="8">
        <v>0</v>
      </c>
      <c r="E11" s="9">
        <v>0</v>
      </c>
      <c r="F11" s="8">
        <v>636.6</v>
      </c>
      <c r="G11" s="8">
        <v>359.7</v>
      </c>
      <c r="H11" s="8">
        <v>0</v>
      </c>
      <c r="I11" s="17">
        <f t="shared" si="1"/>
        <v>2268.5500000000002</v>
      </c>
      <c r="J11" s="8">
        <v>204.16</v>
      </c>
      <c r="K11" s="8">
        <v>12.03</v>
      </c>
      <c r="L11" s="8">
        <v>0</v>
      </c>
      <c r="M11" s="8">
        <v>31.8</v>
      </c>
      <c r="N11" s="8">
        <v>136.11000000000001</v>
      </c>
      <c r="O11" s="8">
        <f>24.82+49.57</f>
        <v>74.39</v>
      </c>
      <c r="P11" s="8">
        <v>0</v>
      </c>
      <c r="Q11" s="8">
        <v>0</v>
      </c>
      <c r="R11" s="9">
        <f t="shared" si="2"/>
        <v>458.49</v>
      </c>
      <c r="S11" s="9">
        <f t="shared" si="0"/>
        <v>1810.0600000000002</v>
      </c>
    </row>
    <row r="12" spans="1:19" x14ac:dyDescent="0.25">
      <c r="A12" s="10" t="s">
        <v>104</v>
      </c>
      <c r="B12" s="11" t="s">
        <v>105</v>
      </c>
      <c r="C12" s="7">
        <v>1732.35</v>
      </c>
      <c r="D12" s="8">
        <v>0</v>
      </c>
      <c r="E12" s="9">
        <v>0</v>
      </c>
      <c r="F12" s="8">
        <v>477.45</v>
      </c>
      <c r="G12" s="8">
        <v>0</v>
      </c>
      <c r="H12" s="8">
        <v>0</v>
      </c>
      <c r="I12" s="17">
        <f t="shared" ref="I12" si="3">C12+D12+E12+H12</f>
        <v>1732.35</v>
      </c>
      <c r="J12" s="8">
        <v>155.91</v>
      </c>
      <c r="K12" s="8">
        <v>0</v>
      </c>
      <c r="L12" s="8">
        <v>0</v>
      </c>
      <c r="M12" s="8">
        <v>23.85</v>
      </c>
      <c r="N12" s="8">
        <v>0</v>
      </c>
      <c r="O12" s="8">
        <v>0</v>
      </c>
      <c r="P12" s="8">
        <v>0</v>
      </c>
      <c r="Q12" s="8">
        <v>0</v>
      </c>
      <c r="R12" s="9">
        <f t="shared" ref="R12" si="4">J12+K12+L12+M12+N12+O12+Q12</f>
        <v>179.76</v>
      </c>
      <c r="S12" s="9">
        <f t="shared" si="0"/>
        <v>1552.59</v>
      </c>
    </row>
    <row r="13" spans="1:19" x14ac:dyDescent="0.25">
      <c r="A13" s="10" t="s">
        <v>24</v>
      </c>
      <c r="B13" s="11" t="s">
        <v>16</v>
      </c>
      <c r="C13" s="7">
        <v>5467.66</v>
      </c>
      <c r="D13" s="8">
        <v>0</v>
      </c>
      <c r="E13" s="9">
        <v>0</v>
      </c>
      <c r="F13" s="8">
        <v>636.6</v>
      </c>
      <c r="G13" s="8">
        <v>0</v>
      </c>
      <c r="H13" s="8">
        <f>5.33+1.62</f>
        <v>6.95</v>
      </c>
      <c r="I13" s="17">
        <f t="shared" si="1"/>
        <v>5474.61</v>
      </c>
      <c r="J13" s="8">
        <v>602.20000000000005</v>
      </c>
      <c r="K13" s="8">
        <v>470.55</v>
      </c>
      <c r="L13" s="8">
        <v>0</v>
      </c>
      <c r="M13" s="8">
        <v>31.8</v>
      </c>
      <c r="N13" s="8">
        <v>0</v>
      </c>
      <c r="O13" s="8">
        <f>37.74</f>
        <v>37.74</v>
      </c>
      <c r="P13" s="8">
        <v>0</v>
      </c>
      <c r="Q13" s="8">
        <v>0</v>
      </c>
      <c r="R13" s="9">
        <f>J13+K13+L13+M13+N13+O13+Q13</f>
        <v>1142.29</v>
      </c>
      <c r="S13" s="9">
        <f t="shared" ref="S13:S25" si="5">I13-R13</f>
        <v>4332.32</v>
      </c>
    </row>
    <row r="14" spans="1:19" x14ac:dyDescent="0.25">
      <c r="A14" s="10" t="s">
        <v>17</v>
      </c>
      <c r="B14" s="11" t="s">
        <v>18</v>
      </c>
      <c r="C14" s="7">
        <v>5467.66</v>
      </c>
      <c r="D14" s="8">
        <v>0</v>
      </c>
      <c r="E14" s="9">
        <v>0</v>
      </c>
      <c r="F14" s="8">
        <v>636.6</v>
      </c>
      <c r="G14" s="8">
        <v>0</v>
      </c>
      <c r="H14" s="8">
        <f>3.83+314.53+96.89</f>
        <v>415.24999999999994</v>
      </c>
      <c r="I14" s="17">
        <f t="shared" si="1"/>
        <v>5882.91</v>
      </c>
      <c r="J14" s="8">
        <v>621.03</v>
      </c>
      <c r="K14" s="8">
        <v>577.66</v>
      </c>
      <c r="L14" s="8">
        <v>0</v>
      </c>
      <c r="M14" s="8">
        <v>31.8</v>
      </c>
      <c r="N14" s="8">
        <v>0</v>
      </c>
      <c r="O14" s="8">
        <f>37.74+39.65</f>
        <v>77.39</v>
      </c>
      <c r="P14" s="8">
        <v>0</v>
      </c>
      <c r="Q14" s="8">
        <v>0</v>
      </c>
      <c r="R14" s="9">
        <f t="shared" si="2"/>
        <v>1307.8800000000001</v>
      </c>
      <c r="S14" s="9">
        <f t="shared" si="5"/>
        <v>4575.03</v>
      </c>
    </row>
    <row r="15" spans="1:19" x14ac:dyDescent="0.25">
      <c r="A15" s="10" t="s">
        <v>3</v>
      </c>
      <c r="B15" s="11" t="s">
        <v>4</v>
      </c>
      <c r="C15" s="7">
        <v>11395.69</v>
      </c>
      <c r="D15" s="8">
        <v>0</v>
      </c>
      <c r="E15" s="9">
        <v>0</v>
      </c>
      <c r="F15" s="8">
        <v>636.6</v>
      </c>
      <c r="G15" s="8">
        <v>0</v>
      </c>
      <c r="H15" s="8">
        <v>0</v>
      </c>
      <c r="I15" s="17">
        <f t="shared" si="1"/>
        <v>11395.69</v>
      </c>
      <c r="J15" s="8">
        <f>322.93+298.1</f>
        <v>621.03</v>
      </c>
      <c r="K15" s="8">
        <v>2093.67</v>
      </c>
      <c r="L15" s="8">
        <v>0</v>
      </c>
      <c r="M15" s="8">
        <v>31.8</v>
      </c>
      <c r="N15" s="8">
        <v>0</v>
      </c>
      <c r="O15" s="8">
        <f>52.98+138.79</f>
        <v>191.76999999999998</v>
      </c>
      <c r="P15" s="8">
        <v>0</v>
      </c>
      <c r="Q15" s="8">
        <v>0</v>
      </c>
      <c r="R15" s="9">
        <f>J15+K15+L15+M15+N15+O15+Q15</f>
        <v>2938.27</v>
      </c>
      <c r="S15" s="9">
        <f t="shared" si="5"/>
        <v>8457.42</v>
      </c>
    </row>
    <row r="16" spans="1:19" x14ac:dyDescent="0.25">
      <c r="A16" s="10" t="s">
        <v>19</v>
      </c>
      <c r="B16" s="11" t="s">
        <v>13</v>
      </c>
      <c r="C16" s="7">
        <v>8627.67</v>
      </c>
      <c r="D16" s="8">
        <v>0</v>
      </c>
      <c r="E16" s="9">
        <v>0</v>
      </c>
      <c r="F16" s="8">
        <v>636.6</v>
      </c>
      <c r="G16" s="8">
        <v>0</v>
      </c>
      <c r="H16" s="8">
        <f>66.65+20.28</f>
        <v>86.93</v>
      </c>
      <c r="I16" s="17">
        <f t="shared" si="1"/>
        <v>8714.6</v>
      </c>
      <c r="J16" s="8">
        <f>32.68+588.35</f>
        <v>621.03</v>
      </c>
      <c r="K16" s="8">
        <v>1356.37</v>
      </c>
      <c r="L16" s="8">
        <v>0</v>
      </c>
      <c r="M16" s="8">
        <v>31.8</v>
      </c>
      <c r="N16" s="8">
        <v>0</v>
      </c>
      <c r="O16" s="8">
        <f>37.74</f>
        <v>37.74</v>
      </c>
      <c r="P16" s="8">
        <v>0</v>
      </c>
      <c r="Q16" s="8">
        <v>0</v>
      </c>
      <c r="R16" s="9">
        <f t="shared" si="2"/>
        <v>2046.9399999999998</v>
      </c>
      <c r="S16" s="9">
        <f t="shared" si="5"/>
        <v>6667.6600000000008</v>
      </c>
    </row>
    <row r="17" spans="1:20" x14ac:dyDescent="0.25">
      <c r="A17" s="10" t="s">
        <v>84</v>
      </c>
      <c r="B17" s="11" t="s">
        <v>66</v>
      </c>
      <c r="C17" s="7">
        <v>7197.28</v>
      </c>
      <c r="D17" s="8">
        <v>0</v>
      </c>
      <c r="E17" s="9">
        <v>0</v>
      </c>
      <c r="F17" s="8">
        <v>636.6</v>
      </c>
      <c r="G17" s="8">
        <v>0</v>
      </c>
      <c r="H17" s="8">
        <f>871.77+265.32</f>
        <v>1137.0899999999999</v>
      </c>
      <c r="I17" s="17">
        <f t="shared" si="1"/>
        <v>8334.369999999999</v>
      </c>
      <c r="J17" s="8">
        <v>621.03</v>
      </c>
      <c r="K17" s="8">
        <v>1251.81</v>
      </c>
      <c r="L17" s="8">
        <v>0</v>
      </c>
      <c r="M17" s="8">
        <v>31.8</v>
      </c>
      <c r="N17" s="8">
        <v>0</v>
      </c>
      <c r="O17" s="8">
        <v>68.88</v>
      </c>
      <c r="P17" s="8">
        <v>0</v>
      </c>
      <c r="Q17" s="8">
        <v>0</v>
      </c>
      <c r="R17" s="9">
        <f t="shared" si="2"/>
        <v>1973.52</v>
      </c>
      <c r="S17" s="9">
        <f t="shared" si="5"/>
        <v>6360.8499999999985</v>
      </c>
    </row>
    <row r="18" spans="1:20" x14ac:dyDescent="0.25">
      <c r="A18" s="10" t="s">
        <v>1</v>
      </c>
      <c r="B18" s="11" t="s">
        <v>2</v>
      </c>
      <c r="C18" s="7">
        <v>11395.69</v>
      </c>
      <c r="D18" s="8">
        <v>0</v>
      </c>
      <c r="E18" s="9">
        <v>0</v>
      </c>
      <c r="F18" s="8">
        <v>604.77</v>
      </c>
      <c r="G18" s="8">
        <v>0</v>
      </c>
      <c r="H18" s="8">
        <v>0</v>
      </c>
      <c r="I18" s="17">
        <f t="shared" si="1"/>
        <v>11395.69</v>
      </c>
      <c r="J18" s="8">
        <f>484.3+136.73</f>
        <v>621.03</v>
      </c>
      <c r="K18" s="8">
        <v>2093.67</v>
      </c>
      <c r="L18" s="8">
        <v>0</v>
      </c>
      <c r="M18" s="8">
        <v>30.21</v>
      </c>
      <c r="N18" s="8">
        <v>0</v>
      </c>
      <c r="O18" s="8">
        <f>37.74</f>
        <v>37.74</v>
      </c>
      <c r="P18" s="8">
        <v>0</v>
      </c>
      <c r="Q18" s="8">
        <v>0</v>
      </c>
      <c r="R18" s="9">
        <f t="shared" si="2"/>
        <v>2782.6499999999996</v>
      </c>
      <c r="S18" s="9">
        <f t="shared" si="5"/>
        <v>8613.0400000000009</v>
      </c>
    </row>
    <row r="19" spans="1:20" x14ac:dyDescent="0.25">
      <c r="A19" s="10" t="s">
        <v>15</v>
      </c>
      <c r="B19" s="11" t="s">
        <v>16</v>
      </c>
      <c r="C19" s="7">
        <v>182.26</v>
      </c>
      <c r="D19" s="8">
        <f>5285.4+1794.78+24.57+61.6+12.77</f>
        <v>7179.12</v>
      </c>
      <c r="E19" s="9">
        <v>0</v>
      </c>
      <c r="F19" s="8">
        <v>636.6</v>
      </c>
      <c r="G19" s="8">
        <v>0</v>
      </c>
      <c r="H19" s="8">
        <v>0</v>
      </c>
      <c r="I19" s="17">
        <f t="shared" si="1"/>
        <v>7361.38</v>
      </c>
      <c r="J19" s="8">
        <f>20.7+600.33</f>
        <v>621.03000000000009</v>
      </c>
      <c r="K19" s="8">
        <v>0</v>
      </c>
      <c r="L19" s="8">
        <v>0</v>
      </c>
      <c r="M19" s="8">
        <v>31.8</v>
      </c>
      <c r="N19" s="8">
        <v>0</v>
      </c>
      <c r="O19" s="13">
        <f>32.82</f>
        <v>32.82</v>
      </c>
      <c r="P19" s="13">
        <v>0</v>
      </c>
      <c r="Q19" s="8">
        <v>5608.03</v>
      </c>
      <c r="R19" s="9">
        <f t="shared" si="2"/>
        <v>6293.68</v>
      </c>
      <c r="S19" s="9">
        <f t="shared" si="5"/>
        <v>1067.6999999999998</v>
      </c>
    </row>
    <row r="20" spans="1:20" x14ac:dyDescent="0.25">
      <c r="A20" s="10" t="s">
        <v>90</v>
      </c>
      <c r="B20" s="11" t="s">
        <v>13</v>
      </c>
      <c r="C20" s="7">
        <v>8212.15</v>
      </c>
      <c r="D20" s="8">
        <v>0</v>
      </c>
      <c r="E20" s="9">
        <v>0</v>
      </c>
      <c r="F20" s="8">
        <v>159.15</v>
      </c>
      <c r="G20" s="8">
        <v>0</v>
      </c>
      <c r="H20" s="8">
        <f>343.68+104.6</f>
        <v>448.28</v>
      </c>
      <c r="I20" s="17">
        <f t="shared" si="1"/>
        <v>8660.43</v>
      </c>
      <c r="J20" s="8">
        <v>621.03</v>
      </c>
      <c r="K20" s="8">
        <v>1341.48</v>
      </c>
      <c r="L20" s="8">
        <v>0</v>
      </c>
      <c r="M20" s="8">
        <v>7.95</v>
      </c>
      <c r="N20" s="8">
        <v>0</v>
      </c>
      <c r="O20" s="13">
        <f>32.82+170.51</f>
        <v>203.32999999999998</v>
      </c>
      <c r="P20" s="13">
        <v>0</v>
      </c>
      <c r="Q20" s="8">
        <v>0</v>
      </c>
      <c r="R20" s="9">
        <f t="shared" si="2"/>
        <v>2173.79</v>
      </c>
      <c r="S20" s="9">
        <f t="shared" si="5"/>
        <v>6486.64</v>
      </c>
      <c r="T20" s="25"/>
    </row>
    <row r="21" spans="1:20" x14ac:dyDescent="0.25">
      <c r="A21" s="10" t="s">
        <v>29</v>
      </c>
      <c r="B21" s="11" t="s">
        <v>18</v>
      </c>
      <c r="C21" s="7">
        <v>5467.66</v>
      </c>
      <c r="D21" s="8">
        <v>0</v>
      </c>
      <c r="E21" s="9">
        <v>0</v>
      </c>
      <c r="F21" s="8">
        <v>636.6</v>
      </c>
      <c r="G21" s="8">
        <v>412.2</v>
      </c>
      <c r="H21" s="8">
        <f>120.97+36.82</f>
        <v>157.79</v>
      </c>
      <c r="I21" s="17">
        <f t="shared" si="1"/>
        <v>5625.45</v>
      </c>
      <c r="J21" s="8">
        <v>618.79</v>
      </c>
      <c r="K21" s="8">
        <v>455.33</v>
      </c>
      <c r="L21" s="8">
        <v>0</v>
      </c>
      <c r="M21" s="8">
        <v>31.8</v>
      </c>
      <c r="N21" s="8">
        <v>328.06</v>
      </c>
      <c r="O21" s="14">
        <f>32.82</f>
        <v>32.82</v>
      </c>
      <c r="P21" s="8">
        <v>403.17</v>
      </c>
      <c r="Q21" s="8">
        <v>0</v>
      </c>
      <c r="R21" s="9">
        <f t="shared" si="2"/>
        <v>1466.7999999999997</v>
      </c>
      <c r="S21" s="9">
        <f>(I21-R21)+P21</f>
        <v>4561.82</v>
      </c>
      <c r="T21" s="25"/>
    </row>
    <row r="22" spans="1:20" x14ac:dyDescent="0.25">
      <c r="A22" s="10" t="s">
        <v>102</v>
      </c>
      <c r="B22" s="11" t="s">
        <v>11</v>
      </c>
      <c r="C22" s="7">
        <v>2268.5500000000002</v>
      </c>
      <c r="D22" s="8">
        <v>0</v>
      </c>
      <c r="E22" s="9">
        <v>0</v>
      </c>
      <c r="F22" s="8">
        <v>636.6</v>
      </c>
      <c r="G22" s="8">
        <v>163.4</v>
      </c>
      <c r="H22" s="8">
        <f>3.4+1.03</f>
        <v>4.43</v>
      </c>
      <c r="I22" s="17">
        <f t="shared" si="1"/>
        <v>2272.98</v>
      </c>
      <c r="J22" s="8">
        <v>204.56</v>
      </c>
      <c r="K22" s="8">
        <v>12.33</v>
      </c>
      <c r="L22" s="8">
        <v>0</v>
      </c>
      <c r="M22" s="8">
        <v>31.8</v>
      </c>
      <c r="N22" s="8">
        <v>136.11000000000001</v>
      </c>
      <c r="O22" s="14">
        <f>68.88</f>
        <v>68.88</v>
      </c>
      <c r="P22" s="8">
        <v>0</v>
      </c>
      <c r="Q22" s="8">
        <v>0</v>
      </c>
      <c r="R22" s="9">
        <f t="shared" si="2"/>
        <v>453.68000000000006</v>
      </c>
      <c r="S22" s="9">
        <f t="shared" si="5"/>
        <v>1819.3</v>
      </c>
      <c r="T22" s="25"/>
    </row>
    <row r="23" spans="1:20" x14ac:dyDescent="0.25">
      <c r="A23" s="10" t="s">
        <v>91</v>
      </c>
      <c r="B23" s="11" t="s">
        <v>16</v>
      </c>
      <c r="C23" s="7">
        <v>5201.26</v>
      </c>
      <c r="D23" s="8">
        <v>0</v>
      </c>
      <c r="E23" s="9">
        <v>0</v>
      </c>
      <c r="F23" s="8">
        <v>636.6</v>
      </c>
      <c r="G23" s="8">
        <v>163.4</v>
      </c>
      <c r="H23" s="8">
        <v>0</v>
      </c>
      <c r="I23" s="17">
        <f t="shared" si="1"/>
        <v>5201.26</v>
      </c>
      <c r="J23" s="8">
        <v>564.47</v>
      </c>
      <c r="K23" s="8">
        <v>391.47</v>
      </c>
      <c r="L23" s="8">
        <v>69.7</v>
      </c>
      <c r="M23" s="8">
        <v>31.8</v>
      </c>
      <c r="N23" s="8">
        <v>163.4</v>
      </c>
      <c r="O23" s="14">
        <f>52.98+39.65</f>
        <v>92.63</v>
      </c>
      <c r="P23" s="8">
        <v>0</v>
      </c>
      <c r="Q23" s="8">
        <v>0</v>
      </c>
      <c r="R23" s="9">
        <f t="shared" si="2"/>
        <v>1313.4700000000003</v>
      </c>
      <c r="S23" s="9">
        <f t="shared" si="5"/>
        <v>3887.79</v>
      </c>
      <c r="T23" s="25"/>
    </row>
    <row r="24" spans="1:20" x14ac:dyDescent="0.25">
      <c r="A24" s="10" t="s">
        <v>36</v>
      </c>
      <c r="B24" s="11" t="s">
        <v>18</v>
      </c>
      <c r="C24" s="7">
        <v>5308.41</v>
      </c>
      <c r="D24" s="8">
        <v>0</v>
      </c>
      <c r="E24" s="9">
        <v>0</v>
      </c>
      <c r="F24" s="8">
        <v>636.6</v>
      </c>
      <c r="G24" s="8">
        <v>0</v>
      </c>
      <c r="H24" s="8">
        <f>4.78+1.45</f>
        <v>6.23</v>
      </c>
      <c r="I24" s="17">
        <f t="shared" si="1"/>
        <v>5314.6399999999994</v>
      </c>
      <c r="J24" s="8">
        <v>584.61</v>
      </c>
      <c r="K24" s="8">
        <v>431.4</v>
      </c>
      <c r="L24" s="8">
        <v>0</v>
      </c>
      <c r="M24" s="8">
        <v>31.8</v>
      </c>
      <c r="N24" s="8">
        <v>0</v>
      </c>
      <c r="O24" s="14">
        <f>68.88+79.3</f>
        <v>148.18</v>
      </c>
      <c r="P24" s="8">
        <v>0</v>
      </c>
      <c r="Q24" s="8">
        <v>0</v>
      </c>
      <c r="R24" s="9">
        <f t="shared" si="2"/>
        <v>1195.99</v>
      </c>
      <c r="S24" s="9">
        <f t="shared" si="5"/>
        <v>4118.6499999999996</v>
      </c>
      <c r="T24" s="25"/>
    </row>
    <row r="25" spans="1:20" x14ac:dyDescent="0.25">
      <c r="A25" s="10" t="s">
        <v>85</v>
      </c>
      <c r="B25" s="11" t="s">
        <v>11</v>
      </c>
      <c r="C25" s="7">
        <v>2268.5500000000002</v>
      </c>
      <c r="D25" s="8">
        <v>0</v>
      </c>
      <c r="E25" s="9">
        <v>0</v>
      </c>
      <c r="F25" s="8">
        <v>636.6</v>
      </c>
      <c r="G25" s="8">
        <v>0</v>
      </c>
      <c r="H25" s="8">
        <v>0</v>
      </c>
      <c r="I25" s="17">
        <f t="shared" si="1"/>
        <v>2268.5500000000002</v>
      </c>
      <c r="J25" s="8">
        <v>204.16</v>
      </c>
      <c r="K25" s="8">
        <v>12.03</v>
      </c>
      <c r="L25" s="8">
        <v>0</v>
      </c>
      <c r="M25" s="8">
        <v>31.8</v>
      </c>
      <c r="N25" s="8">
        <v>0</v>
      </c>
      <c r="O25" s="14">
        <v>37.74</v>
      </c>
      <c r="P25" s="8">
        <v>0</v>
      </c>
      <c r="Q25" s="8">
        <v>0</v>
      </c>
      <c r="R25" s="9">
        <f t="shared" si="2"/>
        <v>285.73</v>
      </c>
      <c r="S25" s="9">
        <f t="shared" si="5"/>
        <v>1982.8200000000002</v>
      </c>
      <c r="T25" s="25"/>
    </row>
    <row r="26" spans="1:20" x14ac:dyDescent="0.25">
      <c r="A26" s="10" t="s">
        <v>42</v>
      </c>
      <c r="B26" s="11" t="s">
        <v>11</v>
      </c>
      <c r="C26" s="7">
        <v>2268.5500000000002</v>
      </c>
      <c r="D26" s="8">
        <v>0</v>
      </c>
      <c r="E26" s="9">
        <v>0</v>
      </c>
      <c r="F26" s="8">
        <v>636.6</v>
      </c>
      <c r="G26" s="8">
        <v>575.70000000000005</v>
      </c>
      <c r="H26" s="8">
        <v>0</v>
      </c>
      <c r="I26" s="17">
        <f t="shared" si="1"/>
        <v>2268.5500000000002</v>
      </c>
      <c r="J26" s="8">
        <v>204.16</v>
      </c>
      <c r="K26" s="8">
        <v>12.03</v>
      </c>
      <c r="L26" s="8">
        <v>0</v>
      </c>
      <c r="M26" s="8">
        <v>31.8</v>
      </c>
      <c r="N26" s="8">
        <v>136.11000000000001</v>
      </c>
      <c r="O26" s="14">
        <v>0</v>
      </c>
      <c r="P26" s="8">
        <v>0</v>
      </c>
      <c r="Q26" s="8">
        <v>0</v>
      </c>
      <c r="R26" s="9">
        <f t="shared" si="2"/>
        <v>384.1</v>
      </c>
      <c r="S26" s="9">
        <f>I26-R26</f>
        <v>1884.4500000000003</v>
      </c>
      <c r="T26" s="25"/>
    </row>
    <row r="27" spans="1:20" x14ac:dyDescent="0.25">
      <c r="A27" s="10" t="s">
        <v>54</v>
      </c>
      <c r="B27" s="11" t="s">
        <v>11</v>
      </c>
      <c r="C27" s="7">
        <v>2268.5500000000002</v>
      </c>
      <c r="D27" s="8">
        <v>0</v>
      </c>
      <c r="E27" s="9">
        <v>0</v>
      </c>
      <c r="F27" s="8">
        <v>636.6</v>
      </c>
      <c r="G27" s="8">
        <v>163.4</v>
      </c>
      <c r="H27" s="8">
        <f>15.31+4.66</f>
        <v>19.97</v>
      </c>
      <c r="I27" s="17">
        <f t="shared" si="1"/>
        <v>2288.52</v>
      </c>
      <c r="J27" s="8">
        <v>205.96</v>
      </c>
      <c r="K27" s="8">
        <v>13.39</v>
      </c>
      <c r="L27" s="8">
        <v>0</v>
      </c>
      <c r="M27" s="8">
        <v>31.8</v>
      </c>
      <c r="N27" s="8">
        <v>136.11000000000001</v>
      </c>
      <c r="O27" s="14">
        <f>32.82+65.43</f>
        <v>98.25</v>
      </c>
      <c r="P27" s="8">
        <v>0</v>
      </c>
      <c r="Q27" s="8">
        <v>0</v>
      </c>
      <c r="R27" s="9">
        <f t="shared" si="2"/>
        <v>485.51000000000005</v>
      </c>
      <c r="S27" s="9">
        <f>I27-R27</f>
        <v>1803.01</v>
      </c>
      <c r="T27" s="25"/>
    </row>
    <row r="28" spans="1:20" x14ac:dyDescent="0.25">
      <c r="A28" s="10" t="s">
        <v>56</v>
      </c>
      <c r="B28" s="11" t="s">
        <v>11</v>
      </c>
      <c r="C28" s="7">
        <v>2268.5500000000002</v>
      </c>
      <c r="D28" s="8">
        <v>0</v>
      </c>
      <c r="E28" s="9">
        <v>0</v>
      </c>
      <c r="F28" s="8">
        <v>636.6</v>
      </c>
      <c r="G28" s="8">
        <v>174.8</v>
      </c>
      <c r="H28" s="8">
        <v>0</v>
      </c>
      <c r="I28" s="17">
        <f t="shared" si="1"/>
        <v>2268.5500000000002</v>
      </c>
      <c r="J28" s="8">
        <v>204.16</v>
      </c>
      <c r="K28" s="8">
        <v>12.03</v>
      </c>
      <c r="L28" s="8">
        <v>0</v>
      </c>
      <c r="M28" s="8">
        <v>31.8</v>
      </c>
      <c r="N28" s="8">
        <v>136.11000000000001</v>
      </c>
      <c r="O28" s="8">
        <v>32.82</v>
      </c>
      <c r="P28" s="8">
        <v>403.17</v>
      </c>
      <c r="Q28" s="8">
        <v>0</v>
      </c>
      <c r="R28" s="9">
        <f t="shared" si="2"/>
        <v>416.92</v>
      </c>
      <c r="S28" s="28">
        <f>((I28-R28)+P28)</f>
        <v>2254.8000000000002</v>
      </c>
      <c r="T28" s="25"/>
    </row>
    <row r="29" spans="1:20" x14ac:dyDescent="0.25">
      <c r="A29" s="10" t="s">
        <v>100</v>
      </c>
      <c r="B29" s="11" t="s">
        <v>101</v>
      </c>
      <c r="C29" s="7">
        <v>14500</v>
      </c>
      <c r="D29" s="8">
        <v>0</v>
      </c>
      <c r="E29" s="9">
        <v>0</v>
      </c>
      <c r="F29" s="8">
        <v>572.94000000000005</v>
      </c>
      <c r="G29" s="8">
        <v>0</v>
      </c>
      <c r="H29" s="8"/>
      <c r="I29" s="17">
        <f t="shared" si="1"/>
        <v>14500</v>
      </c>
      <c r="J29" s="8">
        <v>621.03</v>
      </c>
      <c r="K29" s="8">
        <v>2947.36</v>
      </c>
      <c r="L29" s="8">
        <v>0</v>
      </c>
      <c r="M29" s="8">
        <v>28.62</v>
      </c>
      <c r="N29" s="8">
        <v>0</v>
      </c>
      <c r="O29" s="8">
        <f>68.88</f>
        <v>68.88</v>
      </c>
      <c r="P29" s="8">
        <v>0</v>
      </c>
      <c r="Q29" s="8">
        <v>0</v>
      </c>
      <c r="R29" s="9">
        <f t="shared" si="2"/>
        <v>3665.8900000000003</v>
      </c>
      <c r="S29" s="28">
        <f>((I29-R29)+P29)</f>
        <v>10834.11</v>
      </c>
      <c r="T29" s="25"/>
    </row>
    <row r="30" spans="1:20" x14ac:dyDescent="0.25">
      <c r="A30" s="10" t="s">
        <v>8</v>
      </c>
      <c r="B30" s="11" t="s">
        <v>7</v>
      </c>
      <c r="C30" s="7">
        <v>5467.66</v>
      </c>
      <c r="D30" s="8">
        <v>0</v>
      </c>
      <c r="E30" s="9">
        <v>0</v>
      </c>
      <c r="F30" s="8">
        <v>636.6</v>
      </c>
      <c r="G30" s="8">
        <v>0</v>
      </c>
      <c r="H30" s="8">
        <f>8.2+1.26+605.82+321.5+282.23</f>
        <v>1219.0100000000002</v>
      </c>
      <c r="I30" s="17">
        <f t="shared" si="1"/>
        <v>6686.67</v>
      </c>
      <c r="J30" s="8">
        <v>621.03</v>
      </c>
      <c r="K30" s="8">
        <v>798.69</v>
      </c>
      <c r="L30" s="8">
        <v>0</v>
      </c>
      <c r="M30" s="8">
        <v>31.8</v>
      </c>
      <c r="N30" s="8">
        <v>0</v>
      </c>
      <c r="O30" s="8">
        <v>0</v>
      </c>
      <c r="P30" s="8">
        <v>0</v>
      </c>
      <c r="Q30" s="8">
        <v>0</v>
      </c>
      <c r="R30" s="9">
        <f t="shared" si="2"/>
        <v>1451.52</v>
      </c>
      <c r="S30" s="9">
        <f t="shared" ref="S30:S64" si="6">I30-R30</f>
        <v>5235.1499999999996</v>
      </c>
      <c r="T30" s="25"/>
    </row>
    <row r="31" spans="1:20" x14ac:dyDescent="0.25">
      <c r="A31" s="10" t="s">
        <v>49</v>
      </c>
      <c r="B31" s="11" t="s">
        <v>10</v>
      </c>
      <c r="C31" s="7">
        <v>2668.96</v>
      </c>
      <c r="D31" s="8">
        <f>533.69+202.2+24.08+34.18+0.09+14.56</f>
        <v>808.80000000000007</v>
      </c>
      <c r="E31" s="9">
        <v>0</v>
      </c>
      <c r="F31" s="8">
        <v>636.6</v>
      </c>
      <c r="G31" s="8">
        <v>0</v>
      </c>
      <c r="H31" s="8">
        <f>468.87+63.41+162</f>
        <v>694.28</v>
      </c>
      <c r="I31" s="17">
        <f t="shared" si="1"/>
        <v>4172.04</v>
      </c>
      <c r="J31" s="8">
        <f>394.22+64.7</f>
        <v>458.92</v>
      </c>
      <c r="K31" s="8">
        <v>90.55</v>
      </c>
      <c r="L31" s="8">
        <v>0</v>
      </c>
      <c r="M31" s="8">
        <v>31.8</v>
      </c>
      <c r="N31" s="8">
        <v>0</v>
      </c>
      <c r="O31" s="8">
        <f>28.53</f>
        <v>28.53</v>
      </c>
      <c r="P31" s="8">
        <v>0</v>
      </c>
      <c r="Q31" s="8">
        <v>744.1</v>
      </c>
      <c r="R31" s="9">
        <f t="shared" si="2"/>
        <v>1353.9</v>
      </c>
      <c r="S31" s="9">
        <f t="shared" si="6"/>
        <v>2818.14</v>
      </c>
      <c r="T31" s="25"/>
    </row>
    <row r="32" spans="1:20" x14ac:dyDescent="0.25">
      <c r="A32" s="10" t="s">
        <v>98</v>
      </c>
      <c r="B32" s="11" t="s">
        <v>99</v>
      </c>
      <c r="C32" s="7">
        <v>4798.76</v>
      </c>
      <c r="D32" s="8">
        <v>0</v>
      </c>
      <c r="E32" s="9">
        <v>0</v>
      </c>
      <c r="F32" s="8">
        <v>572.94000000000005</v>
      </c>
      <c r="G32" s="8">
        <v>0</v>
      </c>
      <c r="H32" s="8">
        <v>0</v>
      </c>
      <c r="I32" s="17">
        <f t="shared" si="1"/>
        <v>4798.76</v>
      </c>
      <c r="J32" s="8">
        <v>527.86</v>
      </c>
      <c r="K32" s="8">
        <v>324.82</v>
      </c>
      <c r="L32" s="8">
        <v>0</v>
      </c>
      <c r="M32" s="8">
        <v>28.62</v>
      </c>
      <c r="N32" s="8">
        <v>0</v>
      </c>
      <c r="O32" s="8">
        <v>0</v>
      </c>
      <c r="P32" s="8">
        <v>0</v>
      </c>
      <c r="Q32" s="8">
        <v>0</v>
      </c>
      <c r="R32" s="9">
        <f>J32+K32+L32+M32+N32+O32+Q32</f>
        <v>881.30000000000007</v>
      </c>
      <c r="S32" s="9">
        <f t="shared" si="6"/>
        <v>3917.46</v>
      </c>
      <c r="T32" s="25"/>
    </row>
    <row r="33" spans="1:61" x14ac:dyDescent="0.25">
      <c r="A33" s="10" t="s">
        <v>33</v>
      </c>
      <c r="B33" s="11" t="s">
        <v>11</v>
      </c>
      <c r="C33" s="7">
        <v>2383.35</v>
      </c>
      <c r="D33" s="8">
        <v>0</v>
      </c>
      <c r="E33" s="9">
        <v>0</v>
      </c>
      <c r="F33" s="8">
        <v>636.6</v>
      </c>
      <c r="G33" s="8">
        <v>0</v>
      </c>
      <c r="H33" s="8">
        <v>0</v>
      </c>
      <c r="I33" s="17">
        <f t="shared" si="1"/>
        <v>2383.35</v>
      </c>
      <c r="J33" s="8">
        <v>213.91</v>
      </c>
      <c r="K33" s="8">
        <v>19.420000000000002</v>
      </c>
      <c r="L33" s="8">
        <v>6.55</v>
      </c>
      <c r="M33" s="8">
        <v>31.8</v>
      </c>
      <c r="N33" s="8">
        <v>0</v>
      </c>
      <c r="O33" s="8">
        <v>32.82</v>
      </c>
      <c r="P33" s="8">
        <v>0</v>
      </c>
      <c r="Q33" s="8">
        <v>0</v>
      </c>
      <c r="R33" s="9">
        <f t="shared" si="2"/>
        <v>304.5</v>
      </c>
      <c r="S33" s="9">
        <f t="shared" si="6"/>
        <v>2078.85</v>
      </c>
      <c r="T33" s="25"/>
    </row>
    <row r="34" spans="1:61" x14ac:dyDescent="0.25">
      <c r="A34" s="10" t="s">
        <v>9</v>
      </c>
      <c r="B34" s="11" t="s">
        <v>7</v>
      </c>
      <c r="C34" s="7">
        <v>5204.3100000000004</v>
      </c>
      <c r="D34" s="8">
        <v>0</v>
      </c>
      <c r="E34" s="9">
        <v>0</v>
      </c>
      <c r="F34" s="8">
        <v>636.6</v>
      </c>
      <c r="G34" s="8">
        <v>0</v>
      </c>
      <c r="H34" s="8">
        <f>5.2+0.78+399.69+142.47+165.01</f>
        <v>713.15</v>
      </c>
      <c r="I34" s="17">
        <f t="shared" si="1"/>
        <v>5917.46</v>
      </c>
      <c r="J34" s="8">
        <v>621.03</v>
      </c>
      <c r="K34" s="8">
        <v>587.16</v>
      </c>
      <c r="L34" s="8">
        <v>0</v>
      </c>
      <c r="M34" s="8">
        <v>31.8</v>
      </c>
      <c r="N34" s="8">
        <v>0</v>
      </c>
      <c r="O34" s="8">
        <f>28.53+49.57</f>
        <v>78.099999999999994</v>
      </c>
      <c r="P34" s="8">
        <v>0</v>
      </c>
      <c r="Q34" s="8">
        <v>0</v>
      </c>
      <c r="R34" s="9">
        <f t="shared" si="2"/>
        <v>1318.09</v>
      </c>
      <c r="S34" s="9">
        <f t="shared" si="6"/>
        <v>4599.37</v>
      </c>
      <c r="T34" s="25"/>
    </row>
    <row r="35" spans="1:61" x14ac:dyDescent="0.25">
      <c r="A35" s="10" t="s">
        <v>5</v>
      </c>
      <c r="B35" s="11" t="s">
        <v>95</v>
      </c>
      <c r="C35" s="7">
        <v>11395.69</v>
      </c>
      <c r="D35" s="8">
        <v>0</v>
      </c>
      <c r="E35" s="9">
        <v>0</v>
      </c>
      <c r="F35" s="8">
        <v>636.6</v>
      </c>
      <c r="G35" s="8">
        <v>0</v>
      </c>
      <c r="H35" s="8">
        <v>0</v>
      </c>
      <c r="I35" s="17">
        <f t="shared" si="1"/>
        <v>11395.69</v>
      </c>
      <c r="J35" s="8">
        <v>621.03</v>
      </c>
      <c r="K35" s="8">
        <v>2041.53</v>
      </c>
      <c r="L35" s="8">
        <v>0</v>
      </c>
      <c r="M35" s="8">
        <v>31.8</v>
      </c>
      <c r="N35" s="8">
        <v>0</v>
      </c>
      <c r="O35" s="8">
        <f>37.74+184.38</f>
        <v>222.12</v>
      </c>
      <c r="P35" s="8">
        <v>403.17</v>
      </c>
      <c r="Q35" s="8">
        <v>0</v>
      </c>
      <c r="R35" s="9">
        <f t="shared" si="2"/>
        <v>2916.48</v>
      </c>
      <c r="S35" s="28">
        <f>((I35-R35)+P35)</f>
        <v>8882.380000000001</v>
      </c>
      <c r="T35" s="25"/>
    </row>
    <row r="36" spans="1:61" x14ac:dyDescent="0.25">
      <c r="A36" s="10" t="s">
        <v>31</v>
      </c>
      <c r="B36" s="11" t="s">
        <v>13</v>
      </c>
      <c r="C36" s="7">
        <v>6614.4</v>
      </c>
      <c r="D36" s="8">
        <f>2013.12+677.74+8.6+7.48+4.03</f>
        <v>2710.97</v>
      </c>
      <c r="E36" s="9">
        <v>0</v>
      </c>
      <c r="F36" s="8">
        <v>636.6</v>
      </c>
      <c r="G36" s="8">
        <v>0</v>
      </c>
      <c r="H36" s="8">
        <f>19.41+5.91</f>
        <v>25.32</v>
      </c>
      <c r="I36" s="17">
        <f t="shared" si="1"/>
        <v>9350.6899999999987</v>
      </c>
      <c r="J36" s="8">
        <f>322.83+298.2</f>
        <v>621.03</v>
      </c>
      <c r="K36" s="8">
        <f>867.78+294.51</f>
        <v>1162.29</v>
      </c>
      <c r="L36" s="8">
        <v>0</v>
      </c>
      <c r="M36" s="8">
        <v>31.8</v>
      </c>
      <c r="N36" s="8">
        <v>0</v>
      </c>
      <c r="O36" s="8">
        <f>32.82</f>
        <v>32.82</v>
      </c>
      <c r="P36" s="8">
        <v>0</v>
      </c>
      <c r="Q36" s="8">
        <v>2118.2600000000002</v>
      </c>
      <c r="R36" s="9">
        <f t="shared" si="2"/>
        <v>3966.2</v>
      </c>
      <c r="S36" s="9">
        <f t="shared" si="6"/>
        <v>5384.4899999999989</v>
      </c>
      <c r="T36" s="25"/>
    </row>
    <row r="37" spans="1:61" x14ac:dyDescent="0.25">
      <c r="A37" s="10" t="s">
        <v>106</v>
      </c>
      <c r="B37" s="11" t="s">
        <v>105</v>
      </c>
      <c r="C37" s="7">
        <v>1072.4000000000001</v>
      </c>
      <c r="D37" s="8">
        <v>0</v>
      </c>
      <c r="E37" s="9">
        <v>0</v>
      </c>
      <c r="F37" s="8">
        <v>254.64</v>
      </c>
      <c r="G37" s="8">
        <v>0</v>
      </c>
      <c r="H37" s="8">
        <v>0</v>
      </c>
      <c r="I37" s="17">
        <f t="shared" si="1"/>
        <v>1072.4000000000001</v>
      </c>
      <c r="J37" s="8">
        <v>85.79</v>
      </c>
      <c r="K37" s="8">
        <v>0</v>
      </c>
      <c r="L37" s="8">
        <v>0</v>
      </c>
      <c r="M37" s="8">
        <v>12.72</v>
      </c>
      <c r="N37" s="8">
        <v>0</v>
      </c>
      <c r="O37" s="8">
        <v>0</v>
      </c>
      <c r="P37" s="8">
        <v>0</v>
      </c>
      <c r="Q37" s="8">
        <v>0</v>
      </c>
      <c r="R37" s="9">
        <f t="shared" si="2"/>
        <v>98.51</v>
      </c>
      <c r="S37" s="9">
        <f>I37-R37</f>
        <v>973.8900000000001</v>
      </c>
      <c r="T37" s="25"/>
    </row>
    <row r="38" spans="1:61" x14ac:dyDescent="0.25">
      <c r="A38" s="10" t="s">
        <v>26</v>
      </c>
      <c r="B38" s="11" t="s">
        <v>11</v>
      </c>
      <c r="C38" s="7">
        <v>2383.35</v>
      </c>
      <c r="D38" s="8">
        <v>0</v>
      </c>
      <c r="E38" s="9">
        <v>0</v>
      </c>
      <c r="F38" s="8">
        <v>636.6</v>
      </c>
      <c r="G38" s="8">
        <v>154.80000000000001</v>
      </c>
      <c r="H38" s="8">
        <f>2.68+0.82</f>
        <v>3.5</v>
      </c>
      <c r="I38" s="17">
        <f t="shared" si="1"/>
        <v>2386.85</v>
      </c>
      <c r="J38" s="8">
        <v>214.81</v>
      </c>
      <c r="K38" s="8">
        <v>20.100000000000001</v>
      </c>
      <c r="L38" s="8">
        <v>0</v>
      </c>
      <c r="M38" s="8">
        <v>31.8</v>
      </c>
      <c r="N38" s="8">
        <v>143</v>
      </c>
      <c r="O38" s="8">
        <f>43.79+39.65</f>
        <v>83.44</v>
      </c>
      <c r="P38" s="8">
        <v>0</v>
      </c>
      <c r="Q38" s="8">
        <v>0</v>
      </c>
      <c r="R38" s="9">
        <f>J38+K38+L38+M38+N38+O38+Q38+189.4</f>
        <v>682.55</v>
      </c>
      <c r="S38" s="9">
        <f t="shared" si="6"/>
        <v>1704.3</v>
      </c>
      <c r="T38" s="25"/>
    </row>
    <row r="39" spans="1:61" x14ac:dyDescent="0.25">
      <c r="A39" s="10" t="s">
        <v>57</v>
      </c>
      <c r="B39" s="11" t="s">
        <v>11</v>
      </c>
      <c r="C39" s="7">
        <v>2268.5500000000002</v>
      </c>
      <c r="D39" s="8">
        <v>0</v>
      </c>
      <c r="E39" s="9">
        <v>1330.09</v>
      </c>
      <c r="F39" s="8">
        <v>159.15</v>
      </c>
      <c r="G39" s="8">
        <v>172</v>
      </c>
      <c r="H39" s="8">
        <f>72.87+22.18</f>
        <v>95.050000000000011</v>
      </c>
      <c r="I39" s="17">
        <f t="shared" si="1"/>
        <v>3693.6900000000005</v>
      </c>
      <c r="J39" s="8">
        <v>406.3</v>
      </c>
      <c r="K39" s="8">
        <v>138.31</v>
      </c>
      <c r="L39" s="8">
        <v>0</v>
      </c>
      <c r="M39" s="8">
        <v>7.95</v>
      </c>
      <c r="N39" s="8">
        <v>136.11000000000001</v>
      </c>
      <c r="O39" s="8">
        <v>52.98</v>
      </c>
      <c r="P39" s="8">
        <v>0</v>
      </c>
      <c r="Q39" s="8">
        <v>0</v>
      </c>
      <c r="R39" s="9">
        <f t="shared" si="2"/>
        <v>741.65000000000009</v>
      </c>
      <c r="S39" s="9">
        <f t="shared" si="6"/>
        <v>2952.0400000000004</v>
      </c>
      <c r="T39" s="25"/>
    </row>
    <row r="40" spans="1:61" x14ac:dyDescent="0.25">
      <c r="A40" s="10" t="s">
        <v>92</v>
      </c>
      <c r="B40" s="11" t="s">
        <v>93</v>
      </c>
      <c r="C40" s="7">
        <v>11395.69</v>
      </c>
      <c r="D40" s="8">
        <v>0</v>
      </c>
      <c r="E40" s="9">
        <v>0</v>
      </c>
      <c r="F40" s="8">
        <v>604.77</v>
      </c>
      <c r="G40" s="8">
        <v>0</v>
      </c>
      <c r="H40" s="8">
        <v>0</v>
      </c>
      <c r="I40" s="17">
        <f t="shared" si="1"/>
        <v>11395.69</v>
      </c>
      <c r="J40" s="8">
        <v>621.03</v>
      </c>
      <c r="K40" s="8">
        <v>2093.67</v>
      </c>
      <c r="L40" s="8">
        <v>0</v>
      </c>
      <c r="M40" s="8">
        <v>30.21</v>
      </c>
      <c r="N40" s="8">
        <v>0</v>
      </c>
      <c r="O40" s="8">
        <v>52.98</v>
      </c>
      <c r="P40" s="8">
        <v>0</v>
      </c>
      <c r="Q40" s="8">
        <v>0</v>
      </c>
      <c r="R40" s="9">
        <f t="shared" si="2"/>
        <v>2797.89</v>
      </c>
      <c r="S40" s="9">
        <f t="shared" si="6"/>
        <v>8597.8000000000011</v>
      </c>
      <c r="T40" s="25"/>
    </row>
    <row r="41" spans="1:61" x14ac:dyDescent="0.25">
      <c r="A41" s="10" t="s">
        <v>50</v>
      </c>
      <c r="B41" s="11" t="s">
        <v>51</v>
      </c>
      <c r="C41" s="7">
        <v>3598.64</v>
      </c>
      <c r="D41" s="8">
        <v>0</v>
      </c>
      <c r="E41" s="9">
        <v>0</v>
      </c>
      <c r="F41" s="8">
        <v>636.6</v>
      </c>
      <c r="G41" s="8">
        <v>315</v>
      </c>
      <c r="H41" s="8">
        <f>178.94+54.46</f>
        <v>233.4</v>
      </c>
      <c r="I41" s="17">
        <f t="shared" si="1"/>
        <v>3832.04</v>
      </c>
      <c r="J41" s="8">
        <v>421.52</v>
      </c>
      <c r="K41" s="8">
        <v>156.78</v>
      </c>
      <c r="L41" s="8">
        <v>0</v>
      </c>
      <c r="M41" s="8">
        <v>31.8</v>
      </c>
      <c r="N41" s="8">
        <v>215.92</v>
      </c>
      <c r="O41" s="8">
        <f>68.88+89.22</f>
        <v>158.1</v>
      </c>
      <c r="P41" s="8">
        <v>0</v>
      </c>
      <c r="Q41" s="8">
        <v>0</v>
      </c>
      <c r="R41" s="9">
        <f t="shared" si="2"/>
        <v>984.11999999999989</v>
      </c>
      <c r="S41" s="9">
        <f t="shared" si="6"/>
        <v>2847.92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</row>
    <row r="42" spans="1:61" x14ac:dyDescent="0.25">
      <c r="A42" s="10" t="s">
        <v>52</v>
      </c>
      <c r="B42" s="11" t="s">
        <v>11</v>
      </c>
      <c r="C42" s="7">
        <v>2268.5500000000002</v>
      </c>
      <c r="D42" s="8">
        <v>0</v>
      </c>
      <c r="E42" s="9">
        <v>0</v>
      </c>
      <c r="F42" s="8">
        <v>636.6</v>
      </c>
      <c r="G42" s="8">
        <v>154.80000000000001</v>
      </c>
      <c r="H42" s="8">
        <v>0</v>
      </c>
      <c r="I42" s="17">
        <f t="shared" si="1"/>
        <v>2268.5500000000002</v>
      </c>
      <c r="J42" s="8">
        <v>200.89</v>
      </c>
      <c r="K42" s="8">
        <v>0</v>
      </c>
      <c r="L42" s="8">
        <v>36.409999999999997</v>
      </c>
      <c r="M42" s="8">
        <v>31.8</v>
      </c>
      <c r="N42" s="8">
        <v>136.11000000000001</v>
      </c>
      <c r="O42" s="8">
        <f>37.74+65.43</f>
        <v>103.17000000000002</v>
      </c>
      <c r="P42" s="8">
        <v>403.17</v>
      </c>
      <c r="Q42" s="8">
        <v>0</v>
      </c>
      <c r="R42" s="9">
        <f>J42+K42+L42+M42+N42+O42+Q42</f>
        <v>508.38</v>
      </c>
      <c r="S42" s="9">
        <f>((I42-R42)+P42)</f>
        <v>2163.34</v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</row>
    <row r="43" spans="1:61" x14ac:dyDescent="0.25">
      <c r="A43" s="19" t="s">
        <v>20</v>
      </c>
      <c r="B43" s="20" t="s">
        <v>67</v>
      </c>
      <c r="C43" s="21">
        <v>2383.35</v>
      </c>
      <c r="D43" s="8">
        <v>0</v>
      </c>
      <c r="E43" s="22">
        <v>4813.93</v>
      </c>
      <c r="F43" s="8">
        <v>636.6</v>
      </c>
      <c r="G43" s="8">
        <v>154.80000000000001</v>
      </c>
      <c r="H43" s="8">
        <f>35.99+143.07+54.5</f>
        <v>233.56</v>
      </c>
      <c r="I43" s="23">
        <f t="shared" si="1"/>
        <v>7430.8400000000011</v>
      </c>
      <c r="J43" s="16">
        <v>621.03</v>
      </c>
      <c r="K43" s="16">
        <v>1003.34</v>
      </c>
      <c r="L43" s="8">
        <v>0</v>
      </c>
      <c r="M43" s="8">
        <v>31.8</v>
      </c>
      <c r="N43" s="8">
        <v>143</v>
      </c>
      <c r="O43" s="16">
        <v>0</v>
      </c>
      <c r="P43" s="16">
        <v>0</v>
      </c>
      <c r="Q43" s="8">
        <v>0</v>
      </c>
      <c r="R43" s="22">
        <f>J43+K43+L43+M43+N43+O43+Q43</f>
        <v>1799.1699999999998</v>
      </c>
      <c r="S43" s="22">
        <f t="shared" si="6"/>
        <v>5631.670000000001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4" customFormat="1" x14ac:dyDescent="0.25">
      <c r="A44" s="10" t="s">
        <v>60</v>
      </c>
      <c r="B44" s="11" t="s">
        <v>11</v>
      </c>
      <c r="C44" s="12">
        <v>2268.5500000000002</v>
      </c>
      <c r="D44" s="8">
        <v>0</v>
      </c>
      <c r="E44" s="9">
        <v>0</v>
      </c>
      <c r="F44" s="8">
        <v>636.6</v>
      </c>
      <c r="G44" s="8">
        <v>440.8</v>
      </c>
      <c r="H44" s="8">
        <v>0</v>
      </c>
      <c r="I44" s="18">
        <f t="shared" si="1"/>
        <v>2268.5500000000002</v>
      </c>
      <c r="J44" s="9">
        <v>204.07</v>
      </c>
      <c r="K44" s="9">
        <v>11.96</v>
      </c>
      <c r="L44" s="8">
        <v>1.02</v>
      </c>
      <c r="M44" s="8">
        <v>31.8</v>
      </c>
      <c r="N44" s="8">
        <v>136.11000000000001</v>
      </c>
      <c r="O44" s="9">
        <f>68.88</f>
        <v>68.88</v>
      </c>
      <c r="P44" s="9">
        <v>0</v>
      </c>
      <c r="Q44" s="8">
        <v>0</v>
      </c>
      <c r="R44" s="9">
        <f t="shared" si="2"/>
        <v>453.84000000000003</v>
      </c>
      <c r="S44" s="9">
        <f t="shared" si="6"/>
        <v>1814.71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</row>
    <row r="45" spans="1:61" x14ac:dyDescent="0.25">
      <c r="A45" s="5" t="s">
        <v>46</v>
      </c>
      <c r="B45" s="6" t="s">
        <v>47</v>
      </c>
      <c r="C45" s="7">
        <v>5277.77</v>
      </c>
      <c r="D45" s="8">
        <f>2159.07+765.24+36.76+74.88+2.16+22.85+678.41+226.1</f>
        <v>3965.4700000000003</v>
      </c>
      <c r="E45" s="8">
        <v>0</v>
      </c>
      <c r="F45" s="8">
        <v>636.6</v>
      </c>
      <c r="G45" s="8">
        <v>0</v>
      </c>
      <c r="H45" s="8">
        <f>8.1+32.39</f>
        <v>40.49</v>
      </c>
      <c r="I45" s="17">
        <f t="shared" si="1"/>
        <v>9283.7300000000014</v>
      </c>
      <c r="J45" s="8">
        <f>467.66+153.37</f>
        <v>621.03</v>
      </c>
      <c r="K45" s="8">
        <f>462.33+45.49</f>
        <v>507.82</v>
      </c>
      <c r="L45" s="8">
        <v>0</v>
      </c>
      <c r="M45" s="8">
        <v>31.8</v>
      </c>
      <c r="N45" s="8">
        <v>0</v>
      </c>
      <c r="O45" s="8">
        <v>52.98</v>
      </c>
      <c r="P45" s="8">
        <v>0</v>
      </c>
      <c r="Q45" s="8">
        <v>3662.85</v>
      </c>
      <c r="R45" s="8">
        <f t="shared" si="2"/>
        <v>4876.4799999999996</v>
      </c>
      <c r="S45" s="8">
        <f t="shared" si="6"/>
        <v>4407.2500000000018</v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</row>
    <row r="46" spans="1:61" x14ac:dyDescent="0.25">
      <c r="A46" s="10" t="s">
        <v>23</v>
      </c>
      <c r="B46" s="11" t="s">
        <v>63</v>
      </c>
      <c r="C46" s="7">
        <v>7189.87</v>
      </c>
      <c r="D46" s="8">
        <f>1437.8+633.32+0.65+0.06+461.35</f>
        <v>2533.1799999999998</v>
      </c>
      <c r="E46" s="9">
        <v>2306.75</v>
      </c>
      <c r="F46" s="8">
        <v>636.6</v>
      </c>
      <c r="G46" s="8">
        <v>0</v>
      </c>
      <c r="H46" s="8">
        <v>0</v>
      </c>
      <c r="I46" s="17">
        <f t="shared" si="1"/>
        <v>12029.8</v>
      </c>
      <c r="J46" s="8">
        <f>393.04+227.99</f>
        <v>621.03</v>
      </c>
      <c r="K46" s="8">
        <f>1581.99+15.88</f>
        <v>1597.8700000000001</v>
      </c>
      <c r="L46" s="8">
        <v>0</v>
      </c>
      <c r="M46" s="8">
        <v>31.8</v>
      </c>
      <c r="N46" s="8">
        <v>0</v>
      </c>
      <c r="O46" s="8">
        <f>32.82+170.51</f>
        <v>203.32999999999998</v>
      </c>
      <c r="P46" s="8">
        <v>0</v>
      </c>
      <c r="Q46" s="8">
        <v>2289.41</v>
      </c>
      <c r="R46" s="9">
        <f t="shared" si="2"/>
        <v>4743.4400000000005</v>
      </c>
      <c r="S46" s="9">
        <f t="shared" si="6"/>
        <v>7286.3599999999988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</row>
    <row r="47" spans="1:61" x14ac:dyDescent="0.25">
      <c r="A47" s="10" t="s">
        <v>0</v>
      </c>
      <c r="B47" s="11" t="s">
        <v>48</v>
      </c>
      <c r="C47" s="7">
        <v>11395.69</v>
      </c>
      <c r="D47" s="8">
        <v>0</v>
      </c>
      <c r="E47" s="9">
        <v>0</v>
      </c>
      <c r="F47" s="8">
        <v>636.6</v>
      </c>
      <c r="G47" s="8">
        <v>0</v>
      </c>
      <c r="H47" s="8">
        <v>0</v>
      </c>
      <c r="I47" s="17">
        <f t="shared" si="1"/>
        <v>11395.69</v>
      </c>
      <c r="J47" s="8">
        <f>393.14+227.89</f>
        <v>621.03</v>
      </c>
      <c r="K47" s="8">
        <v>2093.67</v>
      </c>
      <c r="L47" s="8">
        <v>0</v>
      </c>
      <c r="M47" s="8">
        <v>31.8</v>
      </c>
      <c r="N47" s="8">
        <v>0</v>
      </c>
      <c r="O47" s="8">
        <f>129.33+39.65</f>
        <v>168.98000000000002</v>
      </c>
      <c r="P47" s="8">
        <v>0</v>
      </c>
      <c r="Q47" s="8">
        <v>0</v>
      </c>
      <c r="R47" s="9">
        <f t="shared" si="2"/>
        <v>2915.48</v>
      </c>
      <c r="S47" s="9">
        <f t="shared" si="6"/>
        <v>8480.2100000000009</v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</row>
    <row r="48" spans="1:61" x14ac:dyDescent="0.25">
      <c r="A48" s="10" t="s">
        <v>25</v>
      </c>
      <c r="B48" s="11" t="s">
        <v>13</v>
      </c>
      <c r="C48" s="7">
        <v>8627.67</v>
      </c>
      <c r="D48" s="8">
        <v>0</v>
      </c>
      <c r="E48" s="9">
        <v>0</v>
      </c>
      <c r="F48" s="8">
        <v>636.6</v>
      </c>
      <c r="G48" s="8">
        <v>0</v>
      </c>
      <c r="H48" s="8">
        <f>11.65+3.55</f>
        <v>15.2</v>
      </c>
      <c r="I48" s="17">
        <f t="shared" si="1"/>
        <v>8642.8700000000008</v>
      </c>
      <c r="J48" s="8">
        <f>32.68+588.35</f>
        <v>621.03</v>
      </c>
      <c r="K48" s="8">
        <v>1336.65</v>
      </c>
      <c r="L48" s="8">
        <v>0</v>
      </c>
      <c r="M48" s="8">
        <v>31.8</v>
      </c>
      <c r="N48" s="8">
        <v>0</v>
      </c>
      <c r="O48" s="8">
        <f>32.82</f>
        <v>32.82</v>
      </c>
      <c r="P48" s="8">
        <v>0</v>
      </c>
      <c r="Q48" s="8">
        <v>0</v>
      </c>
      <c r="R48" s="9">
        <f t="shared" si="2"/>
        <v>2022.3</v>
      </c>
      <c r="S48" s="9">
        <f t="shared" si="6"/>
        <v>6620.5700000000006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</row>
    <row r="49" spans="1:61" x14ac:dyDescent="0.25">
      <c r="A49" s="10" t="s">
        <v>30</v>
      </c>
      <c r="B49" s="11" t="s">
        <v>11</v>
      </c>
      <c r="C49" s="7">
        <v>2383.35</v>
      </c>
      <c r="D49" s="8">
        <v>0</v>
      </c>
      <c r="E49" s="9">
        <v>0</v>
      </c>
      <c r="F49" s="8">
        <v>636.6</v>
      </c>
      <c r="G49" s="8">
        <v>0</v>
      </c>
      <c r="H49" s="8">
        <f>11.92+123.34+41.17</f>
        <v>176.43</v>
      </c>
      <c r="I49" s="17">
        <f t="shared" si="1"/>
        <v>2559.7799999999997</v>
      </c>
      <c r="J49" s="8">
        <v>230.38</v>
      </c>
      <c r="K49" s="8">
        <v>31.91</v>
      </c>
      <c r="L49" s="8">
        <v>0</v>
      </c>
      <c r="M49" s="8">
        <v>31.8</v>
      </c>
      <c r="N49" s="8">
        <v>0</v>
      </c>
      <c r="O49" s="8">
        <f>28.53+39.65</f>
        <v>68.180000000000007</v>
      </c>
      <c r="P49" s="8">
        <v>0</v>
      </c>
      <c r="Q49" s="8">
        <v>0</v>
      </c>
      <c r="R49" s="9">
        <f t="shared" si="2"/>
        <v>362.27000000000004</v>
      </c>
      <c r="S49" s="9">
        <f t="shared" si="6"/>
        <v>2197.5099999999998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</row>
    <row r="50" spans="1:61" x14ac:dyDescent="0.25">
      <c r="A50" s="10" t="s">
        <v>43</v>
      </c>
      <c r="B50" s="11" t="s">
        <v>44</v>
      </c>
      <c r="C50" s="7">
        <v>5204.3100000000004</v>
      </c>
      <c r="D50" s="8">
        <v>0</v>
      </c>
      <c r="E50" s="15">
        <v>0</v>
      </c>
      <c r="F50" s="8">
        <v>604.77</v>
      </c>
      <c r="G50" s="8">
        <v>0</v>
      </c>
      <c r="H50" s="8">
        <f>1.95+0.59</f>
        <v>2.54</v>
      </c>
      <c r="I50" s="17">
        <f t="shared" si="1"/>
        <v>5206.8500000000004</v>
      </c>
      <c r="J50" s="8">
        <v>572.75</v>
      </c>
      <c r="K50" s="8">
        <v>406.54</v>
      </c>
      <c r="L50" s="8">
        <v>0</v>
      </c>
      <c r="M50" s="8">
        <v>30.21</v>
      </c>
      <c r="N50" s="8">
        <v>0</v>
      </c>
      <c r="O50" s="14">
        <f>28.53</f>
        <v>28.53</v>
      </c>
      <c r="P50" s="14">
        <v>0</v>
      </c>
      <c r="Q50" s="8">
        <v>0</v>
      </c>
      <c r="R50" s="9">
        <f t="shared" si="2"/>
        <v>1038.03</v>
      </c>
      <c r="S50" s="9">
        <f t="shared" si="6"/>
        <v>4168.8200000000006</v>
      </c>
      <c r="T50" s="25"/>
    </row>
    <row r="51" spans="1:61" x14ac:dyDescent="0.25">
      <c r="A51" s="10" t="s">
        <v>38</v>
      </c>
      <c r="B51" s="11" t="s">
        <v>13</v>
      </c>
      <c r="C51" s="7">
        <v>8294.27</v>
      </c>
      <c r="D51" s="8">
        <v>0</v>
      </c>
      <c r="E51" s="9">
        <v>0</v>
      </c>
      <c r="F51" s="8">
        <v>636.6</v>
      </c>
      <c r="G51" s="8">
        <v>0</v>
      </c>
      <c r="H51" s="8">
        <f>8.29+1.16+165.89+446.02</f>
        <v>621.3599999999999</v>
      </c>
      <c r="I51" s="17">
        <f t="shared" si="1"/>
        <v>8915.630000000001</v>
      </c>
      <c r="J51" s="8">
        <v>621.03</v>
      </c>
      <c r="K51" s="8">
        <v>1344.94</v>
      </c>
      <c r="L51" s="8">
        <v>242.61</v>
      </c>
      <c r="M51" s="8">
        <v>31.8</v>
      </c>
      <c r="N51" s="8">
        <v>0</v>
      </c>
      <c r="O51" s="8">
        <v>0</v>
      </c>
      <c r="P51" s="8">
        <v>0</v>
      </c>
      <c r="Q51" s="8">
        <v>0</v>
      </c>
      <c r="R51" s="9">
        <f t="shared" si="2"/>
        <v>2240.38</v>
      </c>
      <c r="S51" s="9">
        <f t="shared" si="6"/>
        <v>6675.2500000000009</v>
      </c>
      <c r="T51" s="25"/>
    </row>
    <row r="52" spans="1:61" x14ac:dyDescent="0.25">
      <c r="A52" s="10" t="s">
        <v>14</v>
      </c>
      <c r="B52" s="11" t="s">
        <v>13</v>
      </c>
      <c r="C52" s="7">
        <v>7189.87</v>
      </c>
      <c r="D52" s="8">
        <f>1437.8+506.75+45.94+20.03+16.49</f>
        <v>2027.01</v>
      </c>
      <c r="E52" s="9">
        <v>0</v>
      </c>
      <c r="F52" s="8">
        <v>541.11</v>
      </c>
      <c r="G52" s="8">
        <v>0</v>
      </c>
      <c r="H52" s="8">
        <f>46.59+14.18</f>
        <v>60.77</v>
      </c>
      <c r="I52" s="17">
        <f t="shared" si="1"/>
        <v>9277.65</v>
      </c>
      <c r="J52" s="8">
        <f>438.6+182.43</f>
        <v>621.03</v>
      </c>
      <c r="K52" s="8">
        <v>1003.95</v>
      </c>
      <c r="L52" s="8">
        <v>0</v>
      </c>
      <c r="M52" s="8">
        <v>27.03</v>
      </c>
      <c r="N52" s="8">
        <v>0</v>
      </c>
      <c r="O52" s="8">
        <v>0</v>
      </c>
      <c r="P52" s="8">
        <v>0</v>
      </c>
      <c r="Q52" s="8">
        <v>1844.58</v>
      </c>
      <c r="R52" s="9">
        <f>J52+K52+L52+M52+N52+O52+Q52</f>
        <v>3496.59</v>
      </c>
      <c r="S52" s="9">
        <f t="shared" si="6"/>
        <v>5781.0599999999995</v>
      </c>
      <c r="T52" s="25"/>
    </row>
    <row r="53" spans="1:61" x14ac:dyDescent="0.25">
      <c r="A53" s="10" t="s">
        <v>81</v>
      </c>
      <c r="B53" s="11" t="s">
        <v>11</v>
      </c>
      <c r="C53" s="7">
        <v>2268.5500000000002</v>
      </c>
      <c r="D53" s="8">
        <v>0</v>
      </c>
      <c r="E53" s="9">
        <v>0</v>
      </c>
      <c r="F53" s="8">
        <v>636.6</v>
      </c>
      <c r="G53" s="8">
        <v>0</v>
      </c>
      <c r="H53" s="8">
        <v>0</v>
      </c>
      <c r="I53" s="17">
        <f t="shared" si="1"/>
        <v>2268.5500000000002</v>
      </c>
      <c r="J53" s="8">
        <v>193.47</v>
      </c>
      <c r="K53" s="8">
        <v>0</v>
      </c>
      <c r="L53" s="8">
        <f>75.66+43.22</f>
        <v>118.88</v>
      </c>
      <c r="M53" s="8">
        <v>31.8</v>
      </c>
      <c r="N53" s="8">
        <v>0</v>
      </c>
      <c r="O53" s="8">
        <f>129.33+79.3</f>
        <v>208.63</v>
      </c>
      <c r="P53" s="8">
        <v>0</v>
      </c>
      <c r="Q53" s="8">
        <v>0</v>
      </c>
      <c r="R53" s="9">
        <f t="shared" si="2"/>
        <v>552.78</v>
      </c>
      <c r="S53" s="9">
        <f t="shared" si="6"/>
        <v>1715.7700000000002</v>
      </c>
      <c r="T53" s="25"/>
    </row>
    <row r="54" spans="1:61" ht="15.75" customHeight="1" x14ac:dyDescent="0.25">
      <c r="A54" s="10" t="s">
        <v>37</v>
      </c>
      <c r="B54" s="11" t="s">
        <v>96</v>
      </c>
      <c r="C54" s="7">
        <v>2291.2399999999998</v>
      </c>
      <c r="D54" s="8">
        <v>0</v>
      </c>
      <c r="E54" s="9">
        <v>1307.4000000000001</v>
      </c>
      <c r="F54" s="8">
        <v>636.6</v>
      </c>
      <c r="G54" s="8">
        <v>423.7</v>
      </c>
      <c r="H54" s="8">
        <f>5.4+1.08+152.92+46.54</f>
        <v>205.93999999999997</v>
      </c>
      <c r="I54" s="17">
        <f t="shared" si="1"/>
        <v>3804.58</v>
      </c>
      <c r="J54" s="8">
        <v>418.5</v>
      </c>
      <c r="K54" s="8">
        <v>153.11000000000001</v>
      </c>
      <c r="L54" s="8">
        <v>0</v>
      </c>
      <c r="M54" s="8">
        <v>31.8</v>
      </c>
      <c r="N54" s="8">
        <v>137.47</v>
      </c>
      <c r="O54" s="8">
        <f>28.53+39.65</f>
        <v>68.180000000000007</v>
      </c>
      <c r="P54" s="8">
        <v>0</v>
      </c>
      <c r="Q54" s="8">
        <v>0</v>
      </c>
      <c r="R54" s="9">
        <f t="shared" si="2"/>
        <v>809.06</v>
      </c>
      <c r="S54" s="9">
        <f t="shared" si="6"/>
        <v>2995.52</v>
      </c>
      <c r="T54" s="25"/>
    </row>
    <row r="55" spans="1:61" ht="15.75" customHeight="1" x14ac:dyDescent="0.25">
      <c r="A55" s="10" t="s">
        <v>94</v>
      </c>
      <c r="B55" s="11" t="s">
        <v>11</v>
      </c>
      <c r="C55" s="7">
        <v>2268.5500000000002</v>
      </c>
      <c r="D55" s="8">
        <v>0</v>
      </c>
      <c r="E55" s="9">
        <v>0</v>
      </c>
      <c r="F55" s="8">
        <v>636.6</v>
      </c>
      <c r="G55" s="8">
        <v>0</v>
      </c>
      <c r="H55" s="8">
        <f>12.93+3.94</f>
        <v>16.87</v>
      </c>
      <c r="I55" s="17">
        <f t="shared" si="1"/>
        <v>2285.42</v>
      </c>
      <c r="J55" s="8">
        <v>205.68</v>
      </c>
      <c r="K55" s="8">
        <v>13.18</v>
      </c>
      <c r="L55" s="8">
        <v>0</v>
      </c>
      <c r="M55" s="8">
        <v>31.8</v>
      </c>
      <c r="N55" s="8">
        <v>0</v>
      </c>
      <c r="O55" s="8">
        <v>68.88</v>
      </c>
      <c r="P55" s="8">
        <v>0</v>
      </c>
      <c r="Q55" s="8">
        <v>0</v>
      </c>
      <c r="R55" s="9">
        <f t="shared" si="2"/>
        <v>319.54000000000002</v>
      </c>
      <c r="S55" s="9">
        <f t="shared" si="6"/>
        <v>1965.88</v>
      </c>
    </row>
    <row r="56" spans="1:61" x14ac:dyDescent="0.25">
      <c r="A56" s="10" t="s">
        <v>35</v>
      </c>
      <c r="B56" s="11" t="s">
        <v>11</v>
      </c>
      <c r="C56" s="7">
        <v>1986.16</v>
      </c>
      <c r="D56" s="8">
        <f>397.19+210.48+12.54+12.74+0.12+202.55+6.32</f>
        <v>841.93999999999994</v>
      </c>
      <c r="E56" s="9">
        <v>1012.75</v>
      </c>
      <c r="F56" s="8">
        <v>286.47000000000003</v>
      </c>
      <c r="G56" s="8">
        <v>0</v>
      </c>
      <c r="H56" s="8">
        <f>6.48+373.54+115.66</f>
        <v>495.68000000000006</v>
      </c>
      <c r="I56" s="17">
        <f t="shared" si="1"/>
        <v>4336.53</v>
      </c>
      <c r="J56" s="8">
        <f>409.66+67.35</f>
        <v>477.01</v>
      </c>
      <c r="K56" s="8">
        <v>107.94</v>
      </c>
      <c r="L56" s="8">
        <v>0</v>
      </c>
      <c r="M56" s="8">
        <v>14.31</v>
      </c>
      <c r="N56" s="8">
        <v>0</v>
      </c>
      <c r="O56" s="8">
        <f>28.53+39.65</f>
        <v>68.180000000000007</v>
      </c>
      <c r="P56" s="8">
        <v>0</v>
      </c>
      <c r="Q56" s="8">
        <v>774.59</v>
      </c>
      <c r="R56" s="9">
        <f t="shared" si="2"/>
        <v>1442.0300000000002</v>
      </c>
      <c r="S56" s="9">
        <f t="shared" si="6"/>
        <v>2894.4999999999995</v>
      </c>
    </row>
    <row r="57" spans="1:61" x14ac:dyDescent="0.25">
      <c r="A57" s="10" t="s">
        <v>21</v>
      </c>
      <c r="B57" s="11" t="s">
        <v>65</v>
      </c>
      <c r="C57" s="7">
        <f>1112.19+4831.04</f>
        <v>5943.23</v>
      </c>
      <c r="D57" s="8">
        <f>7286.51+1806.24+3030.92</f>
        <v>12123.67</v>
      </c>
      <c r="E57" s="9">
        <v>2246.44</v>
      </c>
      <c r="F57" s="8">
        <v>636.6</v>
      </c>
      <c r="G57" s="8">
        <v>0</v>
      </c>
      <c r="H57" s="8">
        <v>0</v>
      </c>
      <c r="I57" s="17">
        <f t="shared" si="1"/>
        <v>20313.34</v>
      </c>
      <c r="J57" s="8">
        <f>324.57+531.41</f>
        <v>855.98</v>
      </c>
      <c r="K57" s="8">
        <f>54.16+331.29</f>
        <v>385.45000000000005</v>
      </c>
      <c r="L57" s="8">
        <f>239.91+168.07</f>
        <v>407.98</v>
      </c>
      <c r="M57" s="8">
        <v>31.8</v>
      </c>
      <c r="N57" s="8">
        <v>0</v>
      </c>
      <c r="O57" s="8">
        <v>0</v>
      </c>
      <c r="P57" s="8">
        <v>0</v>
      </c>
      <c r="Q57" s="8">
        <v>15032.69</v>
      </c>
      <c r="R57" s="9">
        <f>J57+K57+L57+M57+N57+O57+Q57+3598.87+0.57</f>
        <v>20313.34</v>
      </c>
      <c r="S57" s="9">
        <f t="shared" si="6"/>
        <v>0</v>
      </c>
    </row>
    <row r="58" spans="1:61" x14ac:dyDescent="0.25">
      <c r="A58" s="10" t="s">
        <v>53</v>
      </c>
      <c r="B58" s="11" t="s">
        <v>7</v>
      </c>
      <c r="C58" s="7">
        <v>5204.3100000000004</v>
      </c>
      <c r="D58" s="8">
        <v>0</v>
      </c>
      <c r="E58" s="9">
        <v>0</v>
      </c>
      <c r="F58" s="8">
        <v>636.6</v>
      </c>
      <c r="G58" s="8">
        <v>0</v>
      </c>
      <c r="H58" s="8">
        <f>61.4+336.85+121.2</f>
        <v>519.45000000000005</v>
      </c>
      <c r="I58" s="17">
        <f t="shared" si="1"/>
        <v>5723.76</v>
      </c>
      <c r="J58" s="8">
        <v>621.03</v>
      </c>
      <c r="K58" s="8">
        <v>533.9</v>
      </c>
      <c r="L58" s="8">
        <v>0</v>
      </c>
      <c r="M58" s="8">
        <v>31.8</v>
      </c>
      <c r="N58" s="8">
        <v>0</v>
      </c>
      <c r="O58" s="8">
        <f>32.82+79.3</f>
        <v>112.12</v>
      </c>
      <c r="P58" s="8">
        <v>0</v>
      </c>
      <c r="Q58" s="8">
        <v>0</v>
      </c>
      <c r="R58" s="9">
        <f>J58+K58+L58+M58+N58+O58+Q58</f>
        <v>1298.8499999999999</v>
      </c>
      <c r="S58" s="9">
        <f t="shared" si="6"/>
        <v>4424.91</v>
      </c>
    </row>
    <row r="59" spans="1:61" x14ac:dyDescent="0.25">
      <c r="A59" s="10" t="s">
        <v>58</v>
      </c>
      <c r="B59" s="11" t="s">
        <v>11</v>
      </c>
      <c r="C59" s="7">
        <v>2268.5500000000002</v>
      </c>
      <c r="D59" s="8">
        <v>0</v>
      </c>
      <c r="E59" s="9">
        <v>2300.06</v>
      </c>
      <c r="F59" s="8">
        <v>636.6</v>
      </c>
      <c r="G59" s="8">
        <v>0</v>
      </c>
      <c r="H59" s="8">
        <f>164.45+557.75+219.8</f>
        <v>942</v>
      </c>
      <c r="I59" s="17">
        <f t="shared" si="1"/>
        <v>5510.6100000000006</v>
      </c>
      <c r="J59" s="8">
        <v>606.16</v>
      </c>
      <c r="K59" s="8">
        <v>479.36</v>
      </c>
      <c r="L59" s="8">
        <v>0</v>
      </c>
      <c r="M59" s="8">
        <v>31.8</v>
      </c>
      <c r="N59" s="8">
        <v>0</v>
      </c>
      <c r="O59" s="8">
        <v>68.88</v>
      </c>
      <c r="P59" s="8">
        <v>0</v>
      </c>
      <c r="Q59" s="8">
        <v>0</v>
      </c>
      <c r="R59" s="9">
        <f>J59+K59+L59+M59+N59+O59+Q59</f>
        <v>1186.1999999999998</v>
      </c>
      <c r="S59" s="9">
        <f t="shared" si="6"/>
        <v>4324.4100000000008</v>
      </c>
    </row>
    <row r="60" spans="1:61" x14ac:dyDescent="0.25">
      <c r="A60" s="10" t="s">
        <v>59</v>
      </c>
      <c r="B60" s="11" t="s">
        <v>62</v>
      </c>
      <c r="C60" s="7">
        <v>8212.15</v>
      </c>
      <c r="D60" s="8">
        <v>0</v>
      </c>
      <c r="E60" s="9">
        <v>6287.85</v>
      </c>
      <c r="F60" s="8">
        <v>572.94000000000005</v>
      </c>
      <c r="G60" s="8">
        <v>862.2</v>
      </c>
      <c r="H60" s="8">
        <v>0</v>
      </c>
      <c r="I60" s="17">
        <f t="shared" si="1"/>
        <v>14500</v>
      </c>
      <c r="J60" s="8">
        <f>354.87+266.16</f>
        <v>621.03</v>
      </c>
      <c r="K60" s="8">
        <v>2947.36</v>
      </c>
      <c r="L60" s="8">
        <v>0</v>
      </c>
      <c r="M60" s="8">
        <v>28.62</v>
      </c>
      <c r="N60" s="8">
        <v>492.73</v>
      </c>
      <c r="O60" s="8">
        <v>43.79</v>
      </c>
      <c r="P60" s="8">
        <v>0</v>
      </c>
      <c r="Q60" s="8">
        <v>0</v>
      </c>
      <c r="R60" s="9">
        <f>J60+K60+L60+M60+N60+O60+Q60</f>
        <v>4133.5300000000007</v>
      </c>
      <c r="S60" s="28">
        <f>((I60-R60)+P60)</f>
        <v>10366.469999999999</v>
      </c>
    </row>
    <row r="61" spans="1:61" x14ac:dyDescent="0.25">
      <c r="A61" s="10" t="s">
        <v>34</v>
      </c>
      <c r="B61" s="11" t="s">
        <v>64</v>
      </c>
      <c r="C61" s="7">
        <v>1986.16</v>
      </c>
      <c r="D61" s="8">
        <f>397.19+199.93+0.06+202.55+0.01</f>
        <v>799.74</v>
      </c>
      <c r="E61" s="9">
        <v>1012.75</v>
      </c>
      <c r="F61" s="8">
        <v>636.6</v>
      </c>
      <c r="G61" s="8">
        <v>324.8</v>
      </c>
      <c r="H61" s="8">
        <f>0.54+0.16</f>
        <v>0.70000000000000007</v>
      </c>
      <c r="I61" s="17">
        <f t="shared" si="1"/>
        <v>3799.35</v>
      </c>
      <c r="J61" s="8">
        <f>353.95+63.97</f>
        <v>417.91999999999996</v>
      </c>
      <c r="K61" s="8">
        <v>55.62</v>
      </c>
      <c r="L61" s="8">
        <v>0</v>
      </c>
      <c r="M61" s="8">
        <v>31.8</v>
      </c>
      <c r="N61" s="8">
        <v>143</v>
      </c>
      <c r="O61" s="8">
        <f>28.53</f>
        <v>28.53</v>
      </c>
      <c r="P61" s="8">
        <v>0</v>
      </c>
      <c r="Q61" s="8">
        <v>735.77</v>
      </c>
      <c r="R61" s="9">
        <f t="shared" si="2"/>
        <v>1412.6399999999999</v>
      </c>
      <c r="S61" s="9">
        <f t="shared" si="6"/>
        <v>2386.71</v>
      </c>
    </row>
    <row r="62" spans="1:61" x14ac:dyDescent="0.25">
      <c r="A62" s="10" t="s">
        <v>32</v>
      </c>
      <c r="B62" s="11" t="s">
        <v>68</v>
      </c>
      <c r="C62" s="7">
        <v>2383.35</v>
      </c>
      <c r="D62" s="8">
        <v>0</v>
      </c>
      <c r="E62" s="9">
        <v>1215.29</v>
      </c>
      <c r="F62" s="8">
        <v>636.6</v>
      </c>
      <c r="G62" s="8">
        <v>0</v>
      </c>
      <c r="H62" s="8">
        <f>21.05+6.41</f>
        <v>27.46</v>
      </c>
      <c r="I62" s="17">
        <f t="shared" si="1"/>
        <v>3626.1</v>
      </c>
      <c r="J62" s="8">
        <v>398.87</v>
      </c>
      <c r="K62" s="8">
        <v>129.28</v>
      </c>
      <c r="L62" s="8">
        <v>0</v>
      </c>
      <c r="M62" s="8">
        <v>31.8</v>
      </c>
      <c r="N62" s="8">
        <v>0</v>
      </c>
      <c r="O62" s="8">
        <v>32.82</v>
      </c>
      <c r="P62" s="8">
        <v>0</v>
      </c>
      <c r="Q62" s="8">
        <v>0</v>
      </c>
      <c r="R62" s="9">
        <f t="shared" si="2"/>
        <v>592.77</v>
      </c>
      <c r="S62" s="9">
        <f t="shared" si="6"/>
        <v>3033.33</v>
      </c>
    </row>
    <row r="63" spans="1:61" x14ac:dyDescent="0.25">
      <c r="A63" s="10" t="s">
        <v>45</v>
      </c>
      <c r="B63" s="11" t="s">
        <v>68</v>
      </c>
      <c r="C63" s="7">
        <v>2268.5500000000002</v>
      </c>
      <c r="D63" s="8">
        <v>0</v>
      </c>
      <c r="E63" s="9">
        <v>1330.09</v>
      </c>
      <c r="F63" s="8">
        <v>636.6</v>
      </c>
      <c r="G63" s="8">
        <v>288.8</v>
      </c>
      <c r="H63" s="8">
        <v>0</v>
      </c>
      <c r="I63" s="17">
        <f t="shared" si="1"/>
        <v>3598.6400000000003</v>
      </c>
      <c r="J63" s="8">
        <v>395.85</v>
      </c>
      <c r="K63" s="8">
        <v>125.62</v>
      </c>
      <c r="L63" s="8">
        <v>0</v>
      </c>
      <c r="M63" s="8">
        <v>31.8</v>
      </c>
      <c r="N63" s="8">
        <v>136.11000000000001</v>
      </c>
      <c r="O63" s="8">
        <f>28.53</f>
        <v>28.53</v>
      </c>
      <c r="P63" s="8">
        <v>0</v>
      </c>
      <c r="Q63" s="8">
        <v>0</v>
      </c>
      <c r="R63" s="9">
        <f>J63+K63+L63+M63+N63+O63+Q63</f>
        <v>717.91</v>
      </c>
      <c r="S63" s="9">
        <f t="shared" si="6"/>
        <v>2880.7300000000005</v>
      </c>
    </row>
    <row r="64" spans="1:61" x14ac:dyDescent="0.25">
      <c r="A64" s="10" t="s">
        <v>22</v>
      </c>
      <c r="B64" s="11" t="s">
        <v>97</v>
      </c>
      <c r="C64" s="7">
        <v>5467.66</v>
      </c>
      <c r="D64" s="8">
        <v>0</v>
      </c>
      <c r="E64" s="9">
        <v>1729.62</v>
      </c>
      <c r="F64" s="8">
        <v>636.6</v>
      </c>
      <c r="G64" s="8">
        <v>0</v>
      </c>
      <c r="H64" s="8">
        <v>0</v>
      </c>
      <c r="I64" s="17">
        <f t="shared" si="1"/>
        <v>7197.28</v>
      </c>
      <c r="J64" s="8">
        <f>465.77+155.26</f>
        <v>621.03</v>
      </c>
      <c r="K64" s="8">
        <v>925.55</v>
      </c>
      <c r="L64" s="8">
        <v>49.31</v>
      </c>
      <c r="M64" s="8">
        <v>31.8</v>
      </c>
      <c r="N64" s="8">
        <v>0</v>
      </c>
      <c r="O64" s="8">
        <f>32.82+39.65</f>
        <v>72.47</v>
      </c>
      <c r="P64" s="8">
        <v>0</v>
      </c>
      <c r="Q64" s="8">
        <v>0</v>
      </c>
      <c r="R64" s="9">
        <f t="shared" si="2"/>
        <v>1700.1599999999999</v>
      </c>
      <c r="S64" s="9">
        <f t="shared" si="6"/>
        <v>5497.12</v>
      </c>
    </row>
    <row r="65" spans="1:19" x14ac:dyDescent="0.25">
      <c r="A65" s="31" t="s">
        <v>89</v>
      </c>
      <c r="B65" s="31"/>
      <c r="C65" s="26">
        <f>SUM(C6:C64)</f>
        <v>294459.8899999999</v>
      </c>
      <c r="D65" s="27">
        <f>SUM(D6:D64)</f>
        <v>32989.899999999994</v>
      </c>
      <c r="E65" s="27">
        <f>SUM(E6:E64)</f>
        <v>32821.049999999996</v>
      </c>
      <c r="F65" s="26">
        <f t="shared" ref="F65:S65" si="7">SUM(F6:F64)</f>
        <v>34853.849999999977</v>
      </c>
      <c r="G65" s="27">
        <f t="shared" si="7"/>
        <v>5392.6500000000015</v>
      </c>
      <c r="H65" s="27">
        <f t="shared" si="7"/>
        <v>9381.31</v>
      </c>
      <c r="I65" s="26">
        <f t="shared" si="7"/>
        <v>369652.15000000008</v>
      </c>
      <c r="J65" s="27">
        <f t="shared" si="7"/>
        <v>27706.849999999984</v>
      </c>
      <c r="K65" s="27">
        <f t="shared" si="7"/>
        <v>41162.799999999996</v>
      </c>
      <c r="L65" s="26">
        <f t="shared" si="7"/>
        <v>932.46</v>
      </c>
      <c r="M65" s="27">
        <f t="shared" si="7"/>
        <v>1717.1999999999987</v>
      </c>
      <c r="N65" s="27">
        <f t="shared" si="7"/>
        <v>3079.9200000000005</v>
      </c>
      <c r="O65" s="26">
        <f t="shared" si="7"/>
        <v>4049.0900000000006</v>
      </c>
      <c r="P65" s="27">
        <f t="shared" si="7"/>
        <v>1612.68</v>
      </c>
      <c r="Q65" s="27">
        <f t="shared" si="7"/>
        <v>32810.28</v>
      </c>
      <c r="R65" s="26">
        <f t="shared" si="7"/>
        <v>115247.44</v>
      </c>
      <c r="S65" s="27">
        <f t="shared" si="7"/>
        <v>256017.38999999998</v>
      </c>
    </row>
  </sheetData>
  <mergeCells count="3">
    <mergeCell ref="A3:S3"/>
    <mergeCell ref="A4:S4"/>
    <mergeCell ref="A65:B65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Cristina Espíndola Romor Vargas</cp:lastModifiedBy>
  <cp:lastPrinted>2018-11-06T19:17:56Z</cp:lastPrinted>
  <dcterms:created xsi:type="dcterms:W3CDTF">2015-04-01T12:17:47Z</dcterms:created>
  <dcterms:modified xsi:type="dcterms:W3CDTF">2018-11-06T19:18:01Z</dcterms:modified>
</cp:coreProperties>
</file>