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8830" windowHeight="12795"/>
  </bookViews>
  <sheets>
    <sheet name="MARÇO 2018" sheetId="21" r:id="rId1"/>
  </sheets>
  <calcPr calcId="145621"/>
</workbook>
</file>

<file path=xl/calcChain.xml><?xml version="1.0" encoding="utf-8"?>
<calcChain xmlns="http://schemas.openxmlformats.org/spreadsheetml/2006/main">
  <c r="O59" i="21" l="1"/>
  <c r="J59" i="21"/>
  <c r="R59" i="21" s="1"/>
  <c r="D59" i="21"/>
  <c r="C58" i="21"/>
  <c r="S56" i="21"/>
  <c r="R56" i="21"/>
  <c r="F56" i="21"/>
  <c r="H55" i="21"/>
  <c r="I55" i="21" s="1"/>
  <c r="O54" i="21"/>
  <c r="H54" i="21"/>
  <c r="I54" i="21" s="1"/>
  <c r="H53" i="21"/>
  <c r="I53" i="21" s="1"/>
  <c r="H52" i="21"/>
  <c r="F52" i="21"/>
  <c r="S51" i="21"/>
  <c r="F51" i="21"/>
  <c r="C51" i="21"/>
  <c r="O49" i="21"/>
  <c r="L49" i="21"/>
  <c r="R48" i="21"/>
  <c r="H48" i="21"/>
  <c r="J47" i="21"/>
  <c r="H47" i="21"/>
  <c r="D47" i="21"/>
  <c r="I47" i="21" s="1"/>
  <c r="J44" i="21"/>
  <c r="H44" i="21"/>
  <c r="D44" i="21"/>
  <c r="O43" i="21"/>
  <c r="H42" i="21"/>
  <c r="H41" i="21"/>
  <c r="O40" i="21"/>
  <c r="H39" i="21"/>
  <c r="I39" i="21" s="1"/>
  <c r="S38" i="21"/>
  <c r="O38" i="21"/>
  <c r="R38" i="21" s="1"/>
  <c r="J38" i="21"/>
  <c r="H38" i="21"/>
  <c r="D38" i="21"/>
  <c r="O37" i="21"/>
  <c r="I38" i="21"/>
  <c r="H37" i="21"/>
  <c r="S36" i="21"/>
  <c r="H35" i="21"/>
  <c r="F35" i="21"/>
  <c r="O34" i="21"/>
  <c r="R34" i="21" s="1"/>
  <c r="J33" i="21"/>
  <c r="H33" i="21"/>
  <c r="I33" i="21" s="1"/>
  <c r="D33" i="21"/>
  <c r="S32" i="21"/>
  <c r="K32" i="21"/>
  <c r="J32" i="21"/>
  <c r="R32" i="21" s="1"/>
  <c r="D32" i="21"/>
  <c r="O31" i="21"/>
  <c r="R29" i="21"/>
  <c r="H28" i="21"/>
  <c r="I28" i="21" s="1"/>
  <c r="J28" i="21"/>
  <c r="D28" i="21"/>
  <c r="H27" i="21"/>
  <c r="S26" i="21"/>
  <c r="H24" i="21"/>
  <c r="I24" i="21" s="1"/>
  <c r="S21" i="21"/>
  <c r="O20" i="21"/>
  <c r="R20" i="21" s="1"/>
  <c r="O19" i="21"/>
  <c r="H19" i="21"/>
  <c r="S18" i="21"/>
  <c r="H18" i="21"/>
  <c r="F18" i="21"/>
  <c r="C18" i="21"/>
  <c r="I18" i="21" s="1"/>
  <c r="O17" i="21"/>
  <c r="H15" i="21"/>
  <c r="I15" i="21" s="1"/>
  <c r="D14" i="21"/>
  <c r="J14" i="21"/>
  <c r="R14" i="21" s="1"/>
  <c r="H14" i="21"/>
  <c r="I14" i="21" s="1"/>
  <c r="H11" i="21"/>
  <c r="S10" i="21"/>
  <c r="O10" i="21"/>
  <c r="R10" i="21" s="1"/>
  <c r="H9" i="21"/>
  <c r="I9" i="21" s="1"/>
  <c r="H8" i="21"/>
  <c r="I8" i="21" s="1"/>
  <c r="F8" i="21"/>
  <c r="H6" i="21"/>
  <c r="I7" i="21"/>
  <c r="I10" i="21"/>
  <c r="I11" i="21"/>
  <c r="I13" i="21"/>
  <c r="I16" i="21"/>
  <c r="I17" i="21"/>
  <c r="I20" i="21"/>
  <c r="I21" i="21"/>
  <c r="I22" i="21"/>
  <c r="I23" i="21"/>
  <c r="I26" i="21"/>
  <c r="I27" i="21"/>
  <c r="I30" i="21"/>
  <c r="I31" i="21"/>
  <c r="I32" i="21"/>
  <c r="I34" i="21"/>
  <c r="I36" i="21"/>
  <c r="I40" i="21"/>
  <c r="I43" i="21"/>
  <c r="I44" i="21"/>
  <c r="I45" i="21"/>
  <c r="I48" i="21"/>
  <c r="I49" i="21"/>
  <c r="I51" i="21"/>
  <c r="I56" i="21"/>
  <c r="I57" i="21"/>
  <c r="I58" i="21"/>
  <c r="I59" i="21"/>
  <c r="I60" i="21"/>
  <c r="R7" i="21"/>
  <c r="R8" i="21"/>
  <c r="R9" i="21"/>
  <c r="R11" i="21"/>
  <c r="R13" i="21"/>
  <c r="R15" i="21"/>
  <c r="R16" i="21"/>
  <c r="R17" i="21"/>
  <c r="R18" i="21"/>
  <c r="R21" i="21"/>
  <c r="R22" i="21"/>
  <c r="R23" i="21"/>
  <c r="R24" i="21"/>
  <c r="R26" i="21"/>
  <c r="R27" i="21"/>
  <c r="R28" i="21"/>
  <c r="R30" i="21"/>
  <c r="R31" i="21"/>
  <c r="R33" i="21"/>
  <c r="R36" i="21"/>
  <c r="R37" i="21"/>
  <c r="R39" i="21"/>
  <c r="R40" i="21"/>
  <c r="R41" i="21"/>
  <c r="R43" i="21"/>
  <c r="R44" i="21"/>
  <c r="R45" i="21"/>
  <c r="R47" i="21"/>
  <c r="R51" i="21"/>
  <c r="R53" i="21"/>
  <c r="R54" i="21"/>
  <c r="R55" i="21"/>
  <c r="R57" i="21"/>
  <c r="R58" i="21"/>
  <c r="R60" i="21"/>
  <c r="R6" i="21"/>
  <c r="J6" i="21"/>
  <c r="D6" i="21" l="1"/>
  <c r="I6" i="21" s="1"/>
  <c r="Q61" i="21" l="1"/>
  <c r="P61" i="21"/>
  <c r="O61" i="21"/>
  <c r="N61" i="21"/>
  <c r="M61" i="21"/>
  <c r="G61" i="21"/>
  <c r="E61" i="21"/>
  <c r="C61" i="21"/>
  <c r="S60" i="21"/>
  <c r="S59" i="21"/>
  <c r="S58" i="21"/>
  <c r="S57" i="21"/>
  <c r="S55" i="21"/>
  <c r="S54" i="21"/>
  <c r="S53" i="21"/>
  <c r="R52" i="21"/>
  <c r="I52" i="21"/>
  <c r="S52" i="21" s="1"/>
  <c r="R50" i="21"/>
  <c r="I50" i="21"/>
  <c r="S48" i="21"/>
  <c r="S47" i="21"/>
  <c r="R46" i="21"/>
  <c r="S45" i="21"/>
  <c r="S44" i="21"/>
  <c r="S43" i="21"/>
  <c r="J42" i="21"/>
  <c r="R42" i="21" s="1"/>
  <c r="I42" i="21"/>
  <c r="S42" i="21" s="1"/>
  <c r="I41" i="21"/>
  <c r="S41" i="21" s="1"/>
  <c r="S40" i="21"/>
  <c r="S39" i="21"/>
  <c r="I37" i="21"/>
  <c r="S37" i="21" s="1"/>
  <c r="F61" i="21"/>
  <c r="I35" i="21"/>
  <c r="S34" i="21"/>
  <c r="S33" i="21"/>
  <c r="S31" i="21"/>
  <c r="S30" i="21"/>
  <c r="S28" i="21"/>
  <c r="S27" i="21"/>
  <c r="R25" i="21"/>
  <c r="I25" i="21"/>
  <c r="S24" i="21"/>
  <c r="S23" i="21"/>
  <c r="S22" i="21"/>
  <c r="S20" i="21"/>
  <c r="R19" i="21"/>
  <c r="I19" i="21"/>
  <c r="S17" i="21"/>
  <c r="S16" i="21"/>
  <c r="S15" i="21"/>
  <c r="S14" i="21"/>
  <c r="S13" i="21"/>
  <c r="I12" i="21"/>
  <c r="S11" i="21"/>
  <c r="S9" i="21"/>
  <c r="S8" i="21"/>
  <c r="S7" i="21"/>
  <c r="S6" i="21"/>
  <c r="S50" i="21" l="1"/>
  <c r="S25" i="21"/>
  <c r="S19" i="21"/>
  <c r="H61" i="21"/>
  <c r="K61" i="21"/>
  <c r="R12" i="21"/>
  <c r="S12" i="21" s="1"/>
  <c r="L61" i="21"/>
  <c r="R49" i="21"/>
  <c r="S49" i="21" s="1"/>
  <c r="D61" i="21"/>
  <c r="I29" i="21"/>
  <c r="S29" i="21" s="1"/>
  <c r="J61" i="21"/>
  <c r="R35" i="21"/>
  <c r="S35" i="21" s="1"/>
  <c r="I46" i="21"/>
  <c r="S46" i="21" s="1"/>
  <c r="S61" i="21" l="1"/>
  <c r="R61" i="21"/>
  <c r="I61" i="21"/>
</calcChain>
</file>

<file path=xl/sharedStrings.xml><?xml version="1.0" encoding="utf-8"?>
<sst xmlns="http://schemas.openxmlformats.org/spreadsheetml/2006/main" count="131" uniqueCount="101">
  <si>
    <t>Marindia Izabel Girardello</t>
  </si>
  <si>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</si>
  <si>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</si>
  <si>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</si>
  <si>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</si>
  <si>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</si>
  <si>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</si>
  <si>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</si>
  <si>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</si>
  <si>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</si>
  <si>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</si>
  <si>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</si>
  <si>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</si>
  <si>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</si>
  <si>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</si>
  <si>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</si>
  <si>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</si>
  <si>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Gabriela Teixeira da Silva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</si>
  <si>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</si>
  <si>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</si>
  <si>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</si>
  <si>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</si>
  <si>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</si>
  <si>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</si>
  <si>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</si>
  <si>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</si>
  <si>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</si>
  <si>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</si>
  <si>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</si>
  <si>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</si>
  <si>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</si>
  <si>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</si>
  <si>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</si>
  <si>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</si>
  <si>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</si>
  <si>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</si>
  <si>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</si>
  <si>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</si>
  <si>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</si>
  <si>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</si>
  <si>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</si>
  <si>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</si>
  <si>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</si>
  <si>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</si>
  <si>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</si>
  <si>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</si>
  <si>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</si>
  <si>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</si>
  <si>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</si>
  <si>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</si>
  <si>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</si>
  <si>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</si>
  <si>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</si>
  <si>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</si>
  <si>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</si>
  <si>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</si>
  <si>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</si>
  <si>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</si>
  <si>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</si>
  <si>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</si>
  <si>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</si>
  <si>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</si>
  <si>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</si>
  <si>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</si>
  <si>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</si>
  <si>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</si>
  <si>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Coordenadora de Atendimento, PF e PJ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</si>
  <si>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</si>
  <si>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</si>
  <si>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</si>
  <si>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</si>
  <si>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</si>
  <si>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</si>
  <si>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</si>
  <si>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</si>
  <si>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</si>
  <si>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</si>
  <si>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</si>
  <si>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FALTAS</t>
  </si>
  <si>
    <t>DESC. VALE REFEIÇÃO</t>
  </si>
  <si>
    <t>DESC. VALE TRANSPORTE</t>
  </si>
  <si>
    <t>LÍQUIDO FÉRIAS</t>
  </si>
  <si>
    <t>Rosana Maria Marzenbacher</t>
  </si>
  <si>
    <t>Cleci Luciano Bargas</t>
  </si>
  <si>
    <t>Gerente Jurídico</t>
  </si>
  <si>
    <t>Amanda Elisa Barros Gehrke</t>
  </si>
  <si>
    <t>Cezar Eduardo Rieger</t>
  </si>
  <si>
    <t>Eduardo Meira Pilau</t>
  </si>
  <si>
    <t>I.R.R.F.</t>
  </si>
  <si>
    <t>AUXÍLIO CRECHE</t>
  </si>
  <si>
    <t>DESC. CONV. MÉDICO</t>
  </si>
  <si>
    <t xml:space="preserve">TOTAL  </t>
  </si>
  <si>
    <t>QUADRO GERAL DE FUNCIONÁRIOS ATIVOS - CARGOS E SALÁRIOS MARÇO 2018</t>
  </si>
  <si>
    <t>Clarissa Wolff Pierry</t>
  </si>
  <si>
    <t>Cristina Espindola Romor Vargas</t>
  </si>
  <si>
    <t>Luciano Antunes de Oliveira</t>
  </si>
  <si>
    <t>Gerente de Comunicação</t>
  </si>
  <si>
    <t>Sandra Maria de Freitas Carvalho</t>
  </si>
  <si>
    <t>Secretária Geral da Mesa</t>
  </si>
  <si>
    <t>Supervisora de Ética</t>
  </si>
  <si>
    <t>Coordenador de Planejamento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</si>
</sst>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44" fontId="0" fillId="2" borderId="2" xfId="0" applyNumberFormat="1" applyFont="1" applyFill="1" applyBorder="1" applyAlignment="1">
      <alignment horizontal="left"/>
    </xf>
    <xf numFmtId="44" fontId="0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44" fontId="0" fillId="2" borderId="1" xfId="1" applyFont="1" applyFill="1" applyBorder="1"/>
    <xf numFmtId="44" fontId="0" fillId="2" borderId="2" xfId="1" applyFont="1" applyFill="1" applyBorder="1"/>
    <xf numFmtId="44" fontId="0" fillId="2" borderId="2" xfId="1" applyFont="1" applyFill="1" applyBorder="1" applyAlignment="1">
      <alignment horizontal="left"/>
    </xf>
    <xf numFmtId="44" fontId="0" fillId="2" borderId="1" xfId="1" applyFont="1" applyFill="1" applyBorder="1" applyAlignment="1">
      <alignment horizontal="left"/>
    </xf>
    <xf numFmtId="44" fontId="0" fillId="2" borderId="4" xfId="0" applyNumberFormat="1" applyFont="1" applyFill="1" applyBorder="1" applyAlignment="1">
      <alignment horizontal="left"/>
    </xf>
    <xf numFmtId="164" fontId="0" fillId="2" borderId="1" xfId="0" applyNumberFormat="1" applyFill="1" applyBorder="1"/>
    <xf numFmtId="44" fontId="0" fillId="2" borderId="1" xfId="0" applyNumberFormat="1" applyFill="1" applyBorder="1"/>
    <xf numFmtId="44" fontId="0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164" fontId="0" fillId="2" borderId="2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61"/>
  <sheetViews>
    <sheetView tabSelected="1" zoomScaleNormal="100" workbookViewId="0">
      <selection activeCell="A2" sqref="A2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2.7109375" style="1" bestFit="1" customWidth="1"/>
    <col min="4" max="4" width="13.28515625" style="1" customWidth="1"/>
    <col min="5" max="5" width="13.28515625" style="1" bestFit="1" customWidth="1"/>
    <col min="6" max="6" width="12.140625" style="1" bestFit="1" customWidth="1"/>
    <col min="7" max="7" width="13.140625" style="1" customWidth="1"/>
    <col min="8" max="8" width="12.140625" style="1" bestFit="1" customWidth="1"/>
    <col min="9" max="9" width="13.28515625" style="1" bestFit="1" customWidth="1"/>
    <col min="10" max="10" width="15.42578125" style="1" customWidth="1"/>
    <col min="11" max="11" width="13.28515625" style="1" bestFit="1" customWidth="1"/>
    <col min="12" max="12" width="12.140625" style="1" bestFit="1" customWidth="1"/>
    <col min="13" max="13" width="12.28515625" style="1" customWidth="1"/>
    <col min="14" max="14" width="12.5703125" style="1" customWidth="1"/>
    <col min="15" max="15" width="12.7109375" style="1" customWidth="1"/>
    <col min="16" max="16" width="12.5703125" style="1" customWidth="1"/>
    <col min="17" max="18" width="13.28515625" style="1" bestFit="1" customWidth="1"/>
    <col min="19" max="19" width="17" style="1" customWidth="1"/>
    <col min="20" max="16384" width="73" style="1"/>
  </cols>
  <sheetData>
    <row r="3" spans="1:19" ht="21" x14ac:dyDescent="0.35">
      <c r="A3" s="23" t="s">
        <v>92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.75" thickBo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35.25" customHeight="1" thickBot="1" x14ac:dyDescent="0.3">
      <c r="A5" s="2" t="s">
        <v>40</v>
      </c>
      <c r="B5" s="2" t="s">
        <v>71</v>
      </c>
      <c r="C5" s="3" t="s">
        <v>70</v>
      </c>
      <c r="D5" s="3" t="s">
        <v>72</v>
      </c>
      <c r="E5" s="3" t="s">
        <v>73</v>
      </c>
      <c r="F5" s="3" t="s">
        <v>74</v>
      </c>
      <c r="G5" s="4" t="s">
        <v>75</v>
      </c>
      <c r="H5" s="3" t="s">
        <v>76</v>
      </c>
      <c r="I5" s="3" t="s">
        <v>62</v>
      </c>
      <c r="J5" s="3" t="s">
        <v>77</v>
      </c>
      <c r="K5" s="3" t="s">
        <v>88</v>
      </c>
      <c r="L5" s="3" t="s">
        <v>78</v>
      </c>
      <c r="M5" s="3" t="s">
        <v>79</v>
      </c>
      <c r="N5" s="3" t="s">
        <v>80</v>
      </c>
      <c r="O5" s="3" t="s">
        <v>90</v>
      </c>
      <c r="P5" s="3" t="s">
        <v>89</v>
      </c>
      <c r="Q5" s="3" t="s">
        <v>81</v>
      </c>
      <c r="R5" s="3" t="s">
        <v>41</v>
      </c>
      <c r="S5" s="3" t="s">
        <v>42</v>
      </c>
    </row>
    <row r="6" spans="1:19" x14ac:dyDescent="0.25">
      <c r="A6" s="5" t="s">
        <v>28</v>
      </c>
      <c r="B6" s="6" t="s">
        <v>29</v>
      </c>
      <c r="C6" s="7">
        <v>1430.01</v>
      </c>
      <c r="D6" s="8">
        <f>953.34+323.21</f>
        <v>1276.55</v>
      </c>
      <c r="E6" s="8">
        <v>0</v>
      </c>
      <c r="F6" s="8">
        <v>700.26</v>
      </c>
      <c r="G6" s="8">
        <v>100.2</v>
      </c>
      <c r="H6" s="8">
        <f>7.22+6.44+2.63</f>
        <v>16.29</v>
      </c>
      <c r="I6" s="26">
        <f>C6+D6+E6+H6</f>
        <v>2722.85</v>
      </c>
      <c r="J6" s="8">
        <f>141.63+103.42</f>
        <v>245.05</v>
      </c>
      <c r="K6" s="8">
        <v>0</v>
      </c>
      <c r="L6" s="8">
        <v>0</v>
      </c>
      <c r="M6" s="8">
        <v>34.979999999999997</v>
      </c>
      <c r="N6" s="8">
        <v>100.2</v>
      </c>
      <c r="O6" s="8">
        <v>28</v>
      </c>
      <c r="P6" s="8">
        <v>0</v>
      </c>
      <c r="Q6" s="8">
        <v>1189.42</v>
      </c>
      <c r="R6" s="9">
        <f>J6+K6+L6+M6+N6+O6+Q6</f>
        <v>1597.65</v>
      </c>
      <c r="S6" s="9">
        <f>I6-R6</f>
        <v>1125.1999999999998</v>
      </c>
    </row>
    <row r="7" spans="1:19" x14ac:dyDescent="0.25">
      <c r="A7" s="10" t="s">
        <v>6</v>
      </c>
      <c r="B7" s="11" t="s">
        <v>84</v>
      </c>
      <c r="C7" s="12">
        <v>5467.66</v>
      </c>
      <c r="D7" s="9">
        <v>0</v>
      </c>
      <c r="E7" s="9">
        <v>5928.03</v>
      </c>
      <c r="F7" s="8">
        <v>700.26</v>
      </c>
      <c r="G7" s="9">
        <v>0</v>
      </c>
      <c r="H7" s="8">
        <v>0</v>
      </c>
      <c r="I7" s="26">
        <f t="shared" ref="I7:I60" si="0">C7+D7+E7+H7</f>
        <v>11395.689999999999</v>
      </c>
      <c r="J7" s="8">
        <v>621.03</v>
      </c>
      <c r="K7" s="8">
        <v>2093.67</v>
      </c>
      <c r="L7" s="8">
        <v>0</v>
      </c>
      <c r="M7" s="8">
        <v>34.979999999999997</v>
      </c>
      <c r="N7" s="8">
        <v>0</v>
      </c>
      <c r="O7" s="8">
        <v>37.04</v>
      </c>
      <c r="P7" s="8">
        <v>0</v>
      </c>
      <c r="Q7" s="8">
        <v>0</v>
      </c>
      <c r="R7" s="9">
        <f t="shared" ref="R7:R60" si="1">J7+K7+L7+M7+N7+O7+Q7</f>
        <v>2786.72</v>
      </c>
      <c r="S7" s="9">
        <f>I7-R7</f>
        <v>8608.9699999999993</v>
      </c>
    </row>
    <row r="8" spans="1:19" x14ac:dyDescent="0.25">
      <c r="A8" s="10" t="s">
        <v>85</v>
      </c>
      <c r="B8" s="11" t="s">
        <v>13</v>
      </c>
      <c r="C8" s="12">
        <v>8212.15</v>
      </c>
      <c r="D8" s="8">
        <v>0</v>
      </c>
      <c r="E8" s="8">
        <v>0</v>
      </c>
      <c r="F8" s="8">
        <f>206.89*2</f>
        <v>413.78</v>
      </c>
      <c r="G8" s="8">
        <v>0</v>
      </c>
      <c r="H8" s="8">
        <f>61.59+11.84</f>
        <v>73.430000000000007</v>
      </c>
      <c r="I8" s="26">
        <f t="shared" si="0"/>
        <v>8285.58</v>
      </c>
      <c r="J8" s="8">
        <v>621.03</v>
      </c>
      <c r="K8" s="8">
        <v>1238.3900000000001</v>
      </c>
      <c r="L8" s="8">
        <v>0</v>
      </c>
      <c r="M8" s="8">
        <v>20.67</v>
      </c>
      <c r="N8" s="8">
        <v>0</v>
      </c>
      <c r="O8" s="8">
        <v>32.21</v>
      </c>
      <c r="P8" s="8">
        <v>0</v>
      </c>
      <c r="Q8" s="8">
        <v>0</v>
      </c>
      <c r="R8" s="9">
        <f t="shared" si="1"/>
        <v>1912.3000000000002</v>
      </c>
      <c r="S8" s="9">
        <f>I8-R8</f>
        <v>6373.28</v>
      </c>
    </row>
    <row r="9" spans="1:19" x14ac:dyDescent="0.25">
      <c r="A9" s="10" t="s">
        <v>12</v>
      </c>
      <c r="B9" s="11" t="s">
        <v>13</v>
      </c>
      <c r="C9" s="12">
        <v>8627.67</v>
      </c>
      <c r="D9" s="8">
        <v>0</v>
      </c>
      <c r="E9" s="8">
        <v>0</v>
      </c>
      <c r="F9" s="8">
        <v>700.26</v>
      </c>
      <c r="G9" s="8">
        <v>0</v>
      </c>
      <c r="H9" s="8">
        <f>12.94+2.49</f>
        <v>15.43</v>
      </c>
      <c r="I9" s="26">
        <f t="shared" si="0"/>
        <v>8643.1</v>
      </c>
      <c r="J9" s="8">
        <v>621.03</v>
      </c>
      <c r="K9" s="8">
        <v>1336.71</v>
      </c>
      <c r="L9" s="8">
        <v>0</v>
      </c>
      <c r="M9" s="8">
        <v>34.979999999999997</v>
      </c>
      <c r="N9" s="8">
        <v>0</v>
      </c>
      <c r="O9" s="8">
        <v>28</v>
      </c>
      <c r="P9" s="8">
        <v>0</v>
      </c>
      <c r="Q9" s="8">
        <v>0</v>
      </c>
      <c r="R9" s="9">
        <f t="shared" si="1"/>
        <v>2020.72</v>
      </c>
      <c r="S9" s="9">
        <f>I9-R9</f>
        <v>6622.38</v>
      </c>
    </row>
    <row r="10" spans="1:19" x14ac:dyDescent="0.25">
      <c r="A10" s="10" t="s">
        <v>56</v>
      </c>
      <c r="B10" s="11" t="s">
        <v>11</v>
      </c>
      <c r="C10" s="13">
        <v>2268.5500000000002</v>
      </c>
      <c r="D10" s="9">
        <v>0</v>
      </c>
      <c r="E10" s="9">
        <v>0</v>
      </c>
      <c r="F10" s="8">
        <v>700.26</v>
      </c>
      <c r="G10" s="9">
        <v>237.3</v>
      </c>
      <c r="H10" s="8">
        <v>2.11</v>
      </c>
      <c r="I10" s="26">
        <f t="shared" si="0"/>
        <v>2270.6600000000003</v>
      </c>
      <c r="J10" s="8">
        <v>204.16</v>
      </c>
      <c r="K10" s="8">
        <v>12.03</v>
      </c>
      <c r="L10" s="8">
        <v>0</v>
      </c>
      <c r="M10" s="8">
        <v>34.979999999999997</v>
      </c>
      <c r="N10" s="8">
        <v>136.11000000000001</v>
      </c>
      <c r="O10" s="8">
        <f>24.35+39.65</f>
        <v>64</v>
      </c>
      <c r="P10" s="8">
        <v>0</v>
      </c>
      <c r="Q10" s="8">
        <v>0</v>
      </c>
      <c r="R10" s="9">
        <f t="shared" si="1"/>
        <v>451.28</v>
      </c>
      <c r="S10" s="9">
        <f>I10-R10</f>
        <v>1819.3800000000003</v>
      </c>
    </row>
    <row r="11" spans="1:19" x14ac:dyDescent="0.25">
      <c r="A11" s="10" t="s">
        <v>25</v>
      </c>
      <c r="B11" s="11" t="s">
        <v>16</v>
      </c>
      <c r="C11" s="22">
        <v>5467.66</v>
      </c>
      <c r="D11" s="9">
        <v>0</v>
      </c>
      <c r="E11" s="9">
        <v>0</v>
      </c>
      <c r="F11" s="8">
        <v>700.26</v>
      </c>
      <c r="G11" s="9">
        <v>0</v>
      </c>
      <c r="H11" s="8">
        <f>66.84+12.85</f>
        <v>79.69</v>
      </c>
      <c r="I11" s="26">
        <f t="shared" si="0"/>
        <v>5547.3499999999995</v>
      </c>
      <c r="J11" s="8">
        <v>610.20000000000005</v>
      </c>
      <c r="K11" s="8">
        <v>488.36</v>
      </c>
      <c r="L11" s="8">
        <v>0</v>
      </c>
      <c r="M11" s="8">
        <v>34.979999999999997</v>
      </c>
      <c r="N11" s="8">
        <v>0</v>
      </c>
      <c r="O11" s="8">
        <v>32.21</v>
      </c>
      <c r="P11" s="8">
        <v>0</v>
      </c>
      <c r="Q11" s="8">
        <v>0</v>
      </c>
      <c r="R11" s="9">
        <f t="shared" si="1"/>
        <v>1165.75</v>
      </c>
      <c r="S11" s="9">
        <f t="shared" ref="S11:S22" si="2">I11-R11</f>
        <v>4381.5999999999995</v>
      </c>
    </row>
    <row r="12" spans="1:19" x14ac:dyDescent="0.25">
      <c r="A12" s="10" t="s">
        <v>18</v>
      </c>
      <c r="B12" s="11" t="s">
        <v>19</v>
      </c>
      <c r="C12" s="12">
        <v>5467.66</v>
      </c>
      <c r="D12" s="9">
        <v>0</v>
      </c>
      <c r="E12" s="9">
        <v>0</v>
      </c>
      <c r="F12" s="8">
        <v>700.26</v>
      </c>
      <c r="G12" s="9">
        <v>0</v>
      </c>
      <c r="H12" s="8">
        <v>0</v>
      </c>
      <c r="I12" s="26">
        <f t="shared" si="0"/>
        <v>5467.66</v>
      </c>
      <c r="J12" s="8">
        <v>589.83000000000004</v>
      </c>
      <c r="K12" s="8">
        <v>443.02</v>
      </c>
      <c r="L12" s="8">
        <v>105.53</v>
      </c>
      <c r="M12" s="8">
        <v>34.979999999999997</v>
      </c>
      <c r="N12" s="8">
        <v>0</v>
      </c>
      <c r="O12" s="8">
        <v>37.04</v>
      </c>
      <c r="P12" s="8">
        <v>0</v>
      </c>
      <c r="Q12" s="8">
        <v>0</v>
      </c>
      <c r="R12" s="9">
        <f t="shared" si="1"/>
        <v>1210.3999999999999</v>
      </c>
      <c r="S12" s="9">
        <f t="shared" si="2"/>
        <v>4257.26</v>
      </c>
    </row>
    <row r="13" spans="1:19" x14ac:dyDescent="0.25">
      <c r="A13" s="10" t="s">
        <v>3</v>
      </c>
      <c r="B13" s="11" t="s">
        <v>4</v>
      </c>
      <c r="C13" s="14">
        <v>11395.69</v>
      </c>
      <c r="D13" s="9">
        <v>0</v>
      </c>
      <c r="E13" s="9">
        <v>0</v>
      </c>
      <c r="F13" s="8">
        <v>700.26</v>
      </c>
      <c r="G13" s="9">
        <v>0</v>
      </c>
      <c r="H13" s="8">
        <v>0</v>
      </c>
      <c r="I13" s="26">
        <f t="shared" si="0"/>
        <v>11395.69</v>
      </c>
      <c r="J13" s="8">
        <v>621.03</v>
      </c>
      <c r="K13" s="8">
        <v>2093.67</v>
      </c>
      <c r="L13" s="8">
        <v>0</v>
      </c>
      <c r="M13" s="8">
        <v>34.979999999999997</v>
      </c>
      <c r="N13" s="8">
        <v>0</v>
      </c>
      <c r="O13" s="8">
        <v>51.99</v>
      </c>
      <c r="P13" s="8">
        <v>0</v>
      </c>
      <c r="Q13" s="8">
        <v>0</v>
      </c>
      <c r="R13" s="9">
        <f t="shared" si="1"/>
        <v>2801.6699999999996</v>
      </c>
      <c r="S13" s="9">
        <f t="shared" si="2"/>
        <v>8594.02</v>
      </c>
    </row>
    <row r="14" spans="1:19" x14ac:dyDescent="0.25">
      <c r="A14" s="10" t="s">
        <v>20</v>
      </c>
      <c r="B14" s="11" t="s">
        <v>13</v>
      </c>
      <c r="C14" s="12">
        <v>7764.9</v>
      </c>
      <c r="D14" s="9">
        <f>862.77+288.04+96</f>
        <v>1246.81</v>
      </c>
      <c r="E14" s="9">
        <v>0</v>
      </c>
      <c r="F14" s="8">
        <v>700.26</v>
      </c>
      <c r="G14" s="9">
        <v>0</v>
      </c>
      <c r="H14" s="8">
        <f>1.17+0.19</f>
        <v>1.3599999999999999</v>
      </c>
      <c r="I14" s="26">
        <f t="shared" si="0"/>
        <v>9013.07</v>
      </c>
      <c r="J14" s="8">
        <f>496.82+124.21</f>
        <v>621.03</v>
      </c>
      <c r="K14" s="8">
        <v>1129.3599999999999</v>
      </c>
      <c r="L14" s="8">
        <v>9.3000000000000007</v>
      </c>
      <c r="M14" s="8">
        <v>34.979999999999997</v>
      </c>
      <c r="N14" s="8">
        <v>0</v>
      </c>
      <c r="O14" s="8">
        <v>37.04</v>
      </c>
      <c r="P14" s="8">
        <v>0</v>
      </c>
      <c r="Q14" s="8">
        <v>1027.96</v>
      </c>
      <c r="R14" s="9">
        <f t="shared" si="1"/>
        <v>2859.67</v>
      </c>
      <c r="S14" s="9">
        <f t="shared" si="2"/>
        <v>6153.4</v>
      </c>
    </row>
    <row r="15" spans="1:19" x14ac:dyDescent="0.25">
      <c r="A15" s="10" t="s">
        <v>86</v>
      </c>
      <c r="B15" s="11" t="s">
        <v>67</v>
      </c>
      <c r="C15" s="14">
        <v>7197.28</v>
      </c>
      <c r="D15" s="9">
        <v>0</v>
      </c>
      <c r="E15" s="9">
        <v>0</v>
      </c>
      <c r="F15" s="8">
        <v>700.26</v>
      </c>
      <c r="G15" s="9">
        <v>0</v>
      </c>
      <c r="H15" s="9">
        <f>563.55+108.38</f>
        <v>671.93</v>
      </c>
      <c r="I15" s="26">
        <f t="shared" si="0"/>
        <v>7869.21</v>
      </c>
      <c r="J15" s="8">
        <v>621.03</v>
      </c>
      <c r="K15" s="8">
        <v>1123.8900000000001</v>
      </c>
      <c r="L15" s="8">
        <v>0</v>
      </c>
      <c r="M15" s="8">
        <v>34.979999999999997</v>
      </c>
      <c r="N15" s="8">
        <v>0</v>
      </c>
      <c r="O15" s="8">
        <v>67.599999999999994</v>
      </c>
      <c r="P15" s="8">
        <v>0</v>
      </c>
      <c r="Q15" s="8">
        <v>0</v>
      </c>
      <c r="R15" s="9">
        <f t="shared" si="1"/>
        <v>1847.5</v>
      </c>
      <c r="S15" s="9">
        <f t="shared" si="2"/>
        <v>6021.71</v>
      </c>
    </row>
    <row r="16" spans="1:19" x14ac:dyDescent="0.25">
      <c r="A16" s="10" t="s">
        <v>1</v>
      </c>
      <c r="B16" s="11" t="s">
        <v>2</v>
      </c>
      <c r="C16" s="14">
        <v>11395.69</v>
      </c>
      <c r="D16" s="9">
        <v>0</v>
      </c>
      <c r="E16" s="9">
        <v>0</v>
      </c>
      <c r="F16" s="8">
        <v>700.26</v>
      </c>
      <c r="G16" s="9">
        <v>0</v>
      </c>
      <c r="H16" s="8">
        <v>0</v>
      </c>
      <c r="I16" s="26">
        <f t="shared" si="0"/>
        <v>11395.69</v>
      </c>
      <c r="J16" s="8">
        <v>621.03</v>
      </c>
      <c r="K16" s="8">
        <v>2093.67</v>
      </c>
      <c r="L16" s="8">
        <v>0</v>
      </c>
      <c r="M16" s="8">
        <v>34.979999999999997</v>
      </c>
      <c r="N16" s="8">
        <v>0</v>
      </c>
      <c r="O16" s="8">
        <v>32.21</v>
      </c>
      <c r="P16" s="8">
        <v>0</v>
      </c>
      <c r="Q16" s="8">
        <v>0</v>
      </c>
      <c r="R16" s="9">
        <f t="shared" si="1"/>
        <v>2781.89</v>
      </c>
      <c r="S16" s="9">
        <f t="shared" si="2"/>
        <v>8613.8000000000011</v>
      </c>
    </row>
    <row r="17" spans="1:19" x14ac:dyDescent="0.25">
      <c r="A17" s="10" t="s">
        <v>15</v>
      </c>
      <c r="B17" s="11" t="s">
        <v>16</v>
      </c>
      <c r="C17" s="12">
        <v>5103.28</v>
      </c>
      <c r="D17" s="9">
        <v>0</v>
      </c>
      <c r="E17" s="9">
        <v>0</v>
      </c>
      <c r="F17" s="8">
        <v>636.6</v>
      </c>
      <c r="G17" s="9">
        <v>0</v>
      </c>
      <c r="H17" s="8">
        <v>0</v>
      </c>
      <c r="I17" s="26">
        <f t="shared" si="0"/>
        <v>5103.28</v>
      </c>
      <c r="J17" s="8">
        <v>561.36</v>
      </c>
      <c r="K17" s="8">
        <v>343.14</v>
      </c>
      <c r="L17" s="8">
        <v>0</v>
      </c>
      <c r="M17" s="8">
        <v>31.8</v>
      </c>
      <c r="N17" s="15">
        <v>0</v>
      </c>
      <c r="O17" s="16">
        <f>32.21+178.44+184.31</f>
        <v>394.96000000000004</v>
      </c>
      <c r="P17" s="16">
        <v>0</v>
      </c>
      <c r="Q17" s="8">
        <v>0</v>
      </c>
      <c r="R17" s="9">
        <f t="shared" si="1"/>
        <v>1331.26</v>
      </c>
      <c r="S17" s="9">
        <f t="shared" si="2"/>
        <v>3772.0199999999995</v>
      </c>
    </row>
    <row r="18" spans="1:19" x14ac:dyDescent="0.25">
      <c r="A18" s="10" t="s">
        <v>93</v>
      </c>
      <c r="B18" s="11" t="s">
        <v>13</v>
      </c>
      <c r="C18" s="12">
        <f>8212.15+44.35</f>
        <v>8256.5</v>
      </c>
      <c r="D18" s="9">
        <v>0</v>
      </c>
      <c r="E18" s="9">
        <v>0</v>
      </c>
      <c r="F18" s="8">
        <f>413.79*2</f>
        <v>827.58</v>
      </c>
      <c r="G18" s="9">
        <v>0</v>
      </c>
      <c r="H18" s="8">
        <f>405.27+77.94</f>
        <v>483.21</v>
      </c>
      <c r="I18" s="26">
        <f t="shared" si="0"/>
        <v>8739.7099999999991</v>
      </c>
      <c r="J18" s="8">
        <v>621.03</v>
      </c>
      <c r="K18" s="8">
        <v>1351.08</v>
      </c>
      <c r="L18" s="8">
        <v>0</v>
      </c>
      <c r="M18" s="8">
        <v>41.34</v>
      </c>
      <c r="N18" s="15">
        <v>0</v>
      </c>
      <c r="O18" s="16">
        <v>0</v>
      </c>
      <c r="P18" s="16">
        <v>0</v>
      </c>
      <c r="Q18" s="8">
        <v>0</v>
      </c>
      <c r="R18" s="9">
        <f t="shared" si="1"/>
        <v>2013.4499999999998</v>
      </c>
      <c r="S18" s="9">
        <f t="shared" si="2"/>
        <v>6726.2599999999993</v>
      </c>
    </row>
    <row r="19" spans="1:19" x14ac:dyDescent="0.25">
      <c r="A19" s="10" t="s">
        <v>30</v>
      </c>
      <c r="B19" s="11" t="s">
        <v>19</v>
      </c>
      <c r="C19" s="12">
        <v>5467.66</v>
      </c>
      <c r="D19" s="9">
        <v>0</v>
      </c>
      <c r="E19" s="9">
        <v>0</v>
      </c>
      <c r="F19" s="8">
        <v>700.26</v>
      </c>
      <c r="G19" s="9">
        <v>294</v>
      </c>
      <c r="H19" s="8">
        <f>0.82+0.16</f>
        <v>0.98</v>
      </c>
      <c r="I19" s="26">
        <f t="shared" si="0"/>
        <v>5468.6399999999994</v>
      </c>
      <c r="J19" s="8">
        <v>601.54999999999995</v>
      </c>
      <c r="K19" s="8">
        <v>416.95</v>
      </c>
      <c r="L19" s="8">
        <v>0</v>
      </c>
      <c r="M19" s="8">
        <v>34.979999999999997</v>
      </c>
      <c r="N19" s="9">
        <v>294</v>
      </c>
      <c r="O19" s="17">
        <f>28+39.65</f>
        <v>67.650000000000006</v>
      </c>
      <c r="P19" s="8">
        <v>0</v>
      </c>
      <c r="Q19" s="8">
        <v>0</v>
      </c>
      <c r="R19" s="9">
        <f t="shared" si="1"/>
        <v>1415.13</v>
      </c>
      <c r="S19" s="9">
        <f t="shared" si="2"/>
        <v>4053.5099999999993</v>
      </c>
    </row>
    <row r="20" spans="1:19" x14ac:dyDescent="0.25">
      <c r="A20" s="10" t="s">
        <v>83</v>
      </c>
      <c r="B20" s="11" t="s">
        <v>11</v>
      </c>
      <c r="C20" s="12">
        <v>2268.5500000000002</v>
      </c>
      <c r="D20" s="9">
        <v>0</v>
      </c>
      <c r="E20" s="9">
        <v>0</v>
      </c>
      <c r="F20" s="8">
        <v>700.26</v>
      </c>
      <c r="G20" s="9">
        <v>178.2</v>
      </c>
      <c r="H20" s="8">
        <v>0</v>
      </c>
      <c r="I20" s="26">
        <f t="shared" si="0"/>
        <v>2268.5500000000002</v>
      </c>
      <c r="J20" s="8">
        <v>204.16</v>
      </c>
      <c r="K20" s="8">
        <v>12.03</v>
      </c>
      <c r="L20" s="8">
        <v>0</v>
      </c>
      <c r="M20" s="8">
        <v>34.979999999999997</v>
      </c>
      <c r="N20" s="8">
        <v>136.11000000000001</v>
      </c>
      <c r="O20" s="17">
        <f>67.6+39.65</f>
        <v>107.25</v>
      </c>
      <c r="P20" s="8">
        <v>0</v>
      </c>
      <c r="Q20" s="8">
        <v>0</v>
      </c>
      <c r="R20" s="9">
        <f t="shared" si="1"/>
        <v>494.53</v>
      </c>
      <c r="S20" s="9">
        <f t="shared" si="2"/>
        <v>1774.0200000000002</v>
      </c>
    </row>
    <row r="21" spans="1:19" x14ac:dyDescent="0.25">
      <c r="A21" s="10" t="s">
        <v>94</v>
      </c>
      <c r="B21" s="11" t="s">
        <v>16</v>
      </c>
      <c r="C21" s="12">
        <v>5201.26</v>
      </c>
      <c r="D21" s="9">
        <v>0</v>
      </c>
      <c r="E21" s="9">
        <v>0</v>
      </c>
      <c r="F21" s="8">
        <v>954.9</v>
      </c>
      <c r="G21" s="9">
        <v>85.05</v>
      </c>
      <c r="H21" s="8">
        <v>0</v>
      </c>
      <c r="I21" s="26">
        <f t="shared" si="0"/>
        <v>5201.26</v>
      </c>
      <c r="J21" s="8">
        <v>570.85</v>
      </c>
      <c r="K21" s="8">
        <v>403.08</v>
      </c>
      <c r="L21" s="8">
        <v>11.7</v>
      </c>
      <c r="M21" s="8">
        <v>34.979999999999997</v>
      </c>
      <c r="N21" s="8">
        <v>85.05</v>
      </c>
      <c r="O21" s="17">
        <v>0</v>
      </c>
      <c r="P21" s="8">
        <v>0</v>
      </c>
      <c r="Q21" s="8">
        <v>0</v>
      </c>
      <c r="R21" s="9">
        <f t="shared" si="1"/>
        <v>1105.6600000000001</v>
      </c>
      <c r="S21" s="9">
        <f t="shared" si="2"/>
        <v>4095.6000000000004</v>
      </c>
    </row>
    <row r="22" spans="1:19" x14ac:dyDescent="0.25">
      <c r="A22" s="10" t="s">
        <v>37</v>
      </c>
      <c r="B22" s="11" t="s">
        <v>19</v>
      </c>
      <c r="C22" s="12">
        <v>5308.41</v>
      </c>
      <c r="D22" s="9">
        <v>0</v>
      </c>
      <c r="E22" s="9">
        <v>0</v>
      </c>
      <c r="F22" s="8">
        <v>700.26</v>
      </c>
      <c r="G22" s="9">
        <v>0</v>
      </c>
      <c r="H22" s="9">
        <v>0</v>
      </c>
      <c r="I22" s="26">
        <f t="shared" si="0"/>
        <v>5308.41</v>
      </c>
      <c r="J22" s="8">
        <v>574.54999999999995</v>
      </c>
      <c r="K22" s="8">
        <v>409.82</v>
      </c>
      <c r="L22" s="8">
        <v>85.2</v>
      </c>
      <c r="M22" s="8">
        <v>34.979999999999997</v>
      </c>
      <c r="N22" s="8">
        <v>0</v>
      </c>
      <c r="O22" s="17">
        <v>67.599999999999994</v>
      </c>
      <c r="P22" s="8">
        <v>0</v>
      </c>
      <c r="Q22" s="8">
        <v>0</v>
      </c>
      <c r="R22" s="9">
        <f t="shared" si="1"/>
        <v>1172.1499999999999</v>
      </c>
      <c r="S22" s="9">
        <f t="shared" si="2"/>
        <v>4136.26</v>
      </c>
    </row>
    <row r="23" spans="1:19" x14ac:dyDescent="0.25">
      <c r="A23" s="10" t="s">
        <v>87</v>
      </c>
      <c r="B23" s="11" t="s">
        <v>11</v>
      </c>
      <c r="C23" s="13">
        <v>2268.5500000000002</v>
      </c>
      <c r="D23" s="9">
        <v>0</v>
      </c>
      <c r="E23" s="9">
        <v>0</v>
      </c>
      <c r="F23" s="8">
        <v>700.26</v>
      </c>
      <c r="G23" s="9">
        <v>0</v>
      </c>
      <c r="H23" s="8">
        <v>0</v>
      </c>
      <c r="I23" s="26">
        <f t="shared" si="0"/>
        <v>2268.5500000000002</v>
      </c>
      <c r="J23" s="8">
        <v>204.16</v>
      </c>
      <c r="K23" s="8">
        <v>12.03</v>
      </c>
      <c r="L23" s="8">
        <v>0</v>
      </c>
      <c r="M23" s="8">
        <v>34.979999999999997</v>
      </c>
      <c r="N23" s="8">
        <v>0</v>
      </c>
      <c r="O23" s="17">
        <v>37.04</v>
      </c>
      <c r="P23" s="8">
        <v>0</v>
      </c>
      <c r="Q23" s="8">
        <v>0</v>
      </c>
      <c r="R23" s="9">
        <f t="shared" si="1"/>
        <v>288.20999999999998</v>
      </c>
      <c r="S23" s="9">
        <f t="shared" ref="S23" si="3">I23-R23</f>
        <v>1980.3400000000001</v>
      </c>
    </row>
    <row r="24" spans="1:19" x14ac:dyDescent="0.25">
      <c r="A24" s="10" t="s">
        <v>43</v>
      </c>
      <c r="B24" s="11" t="s">
        <v>11</v>
      </c>
      <c r="C24" s="13">
        <v>2268.5500000000002</v>
      </c>
      <c r="D24" s="9">
        <v>0</v>
      </c>
      <c r="E24" s="9">
        <v>0</v>
      </c>
      <c r="F24" s="8">
        <v>700.26</v>
      </c>
      <c r="G24" s="9">
        <v>448</v>
      </c>
      <c r="H24" s="8">
        <f>4.76+0.92</f>
        <v>5.68</v>
      </c>
      <c r="I24" s="26">
        <f t="shared" si="0"/>
        <v>2274.23</v>
      </c>
      <c r="J24" s="8">
        <v>204.68</v>
      </c>
      <c r="K24" s="8">
        <v>12.42</v>
      </c>
      <c r="L24" s="8">
        <v>0</v>
      </c>
      <c r="M24" s="8">
        <v>34.979999999999997</v>
      </c>
      <c r="N24" s="8">
        <v>136.11000000000001</v>
      </c>
      <c r="O24" s="17">
        <v>0</v>
      </c>
      <c r="P24" s="8">
        <v>0</v>
      </c>
      <c r="Q24" s="8">
        <v>0</v>
      </c>
      <c r="R24" s="9">
        <f t="shared" si="1"/>
        <v>388.19</v>
      </c>
      <c r="S24" s="9">
        <f>I24-R24</f>
        <v>1886.04</v>
      </c>
    </row>
    <row r="25" spans="1:19" x14ac:dyDescent="0.25">
      <c r="A25" s="10" t="s">
        <v>55</v>
      </c>
      <c r="B25" s="11" t="s">
        <v>11</v>
      </c>
      <c r="C25" s="13">
        <v>2268.5500000000002</v>
      </c>
      <c r="D25" s="9">
        <v>0</v>
      </c>
      <c r="E25" s="9">
        <v>0</v>
      </c>
      <c r="F25" s="8">
        <v>700.26</v>
      </c>
      <c r="G25" s="9">
        <v>0</v>
      </c>
      <c r="H25" s="8">
        <v>0</v>
      </c>
      <c r="I25" s="26">
        <f t="shared" si="0"/>
        <v>2268.5500000000002</v>
      </c>
      <c r="J25" s="8">
        <v>202.13</v>
      </c>
      <c r="K25" s="8">
        <v>10.49</v>
      </c>
      <c r="L25" s="8">
        <v>22.57</v>
      </c>
      <c r="M25" s="8">
        <v>34.979999999999997</v>
      </c>
      <c r="N25" s="8">
        <v>136.11000000000001</v>
      </c>
      <c r="O25" s="17">
        <v>32.21</v>
      </c>
      <c r="P25" s="8">
        <v>0</v>
      </c>
      <c r="Q25" s="8">
        <v>0</v>
      </c>
      <c r="R25" s="9">
        <f t="shared" si="1"/>
        <v>438.49</v>
      </c>
      <c r="S25" s="9">
        <f>I25-R25</f>
        <v>1830.0600000000002</v>
      </c>
    </row>
    <row r="26" spans="1:19" x14ac:dyDescent="0.25">
      <c r="A26" s="10" t="s">
        <v>57</v>
      </c>
      <c r="B26" s="11" t="s">
        <v>11</v>
      </c>
      <c r="C26" s="13">
        <v>2268.5500000000002</v>
      </c>
      <c r="D26" s="9">
        <v>0</v>
      </c>
      <c r="E26" s="9">
        <v>0</v>
      </c>
      <c r="F26" s="8">
        <v>700.26</v>
      </c>
      <c r="G26" s="9">
        <v>0</v>
      </c>
      <c r="H26" s="8">
        <v>0</v>
      </c>
      <c r="I26" s="26">
        <f t="shared" si="0"/>
        <v>2268.5500000000002</v>
      </c>
      <c r="J26" s="8">
        <v>204.16</v>
      </c>
      <c r="K26" s="8">
        <v>12.03</v>
      </c>
      <c r="L26" s="8">
        <v>0</v>
      </c>
      <c r="M26" s="8">
        <v>34.979999999999997</v>
      </c>
      <c r="N26" s="8">
        <v>0</v>
      </c>
      <c r="O26" s="8">
        <v>32.21</v>
      </c>
      <c r="P26" s="8">
        <v>403.17</v>
      </c>
      <c r="Q26" s="8">
        <v>0</v>
      </c>
      <c r="R26" s="9">
        <f t="shared" si="1"/>
        <v>283.38</v>
      </c>
      <c r="S26" s="27">
        <f>((I26-R26)+P26)</f>
        <v>2388.34</v>
      </c>
    </row>
    <row r="27" spans="1:19" x14ac:dyDescent="0.25">
      <c r="A27" s="10" t="s">
        <v>8</v>
      </c>
      <c r="B27" s="11" t="s">
        <v>7</v>
      </c>
      <c r="C27" s="12">
        <v>5467.66</v>
      </c>
      <c r="D27" s="9">
        <v>0</v>
      </c>
      <c r="E27" s="9">
        <v>0</v>
      </c>
      <c r="F27" s="8">
        <v>700.26</v>
      </c>
      <c r="G27" s="9">
        <v>0</v>
      </c>
      <c r="H27" s="8">
        <f>154.73+898.94+202.63</f>
        <v>1256.3000000000002</v>
      </c>
      <c r="I27" s="26">
        <f t="shared" si="0"/>
        <v>6723.96</v>
      </c>
      <c r="J27" s="8">
        <v>621.03</v>
      </c>
      <c r="K27" s="8">
        <v>808.95</v>
      </c>
      <c r="L27" s="8">
        <v>0</v>
      </c>
      <c r="M27" s="8">
        <v>34.979999999999997</v>
      </c>
      <c r="N27" s="8">
        <v>0</v>
      </c>
      <c r="O27" s="8">
        <v>0</v>
      </c>
      <c r="P27" s="8">
        <v>0</v>
      </c>
      <c r="Q27" s="8">
        <v>0</v>
      </c>
      <c r="R27" s="9">
        <f t="shared" si="1"/>
        <v>1464.96</v>
      </c>
      <c r="S27" s="9">
        <f t="shared" ref="S26:S60" si="4">I27-R27</f>
        <v>5259</v>
      </c>
    </row>
    <row r="28" spans="1:19" x14ac:dyDescent="0.25">
      <c r="A28" s="10" t="s">
        <v>50</v>
      </c>
      <c r="B28" s="11" t="s">
        <v>10</v>
      </c>
      <c r="C28" s="13">
        <v>1067.6400000000001</v>
      </c>
      <c r="D28" s="9">
        <f>2135.01+804.42</f>
        <v>2939.4300000000003</v>
      </c>
      <c r="E28" s="9">
        <v>0</v>
      </c>
      <c r="F28" s="8">
        <v>700.26</v>
      </c>
      <c r="G28" s="9">
        <v>0</v>
      </c>
      <c r="H28" s="9">
        <f>96.33+136.73+0.37+44.82+38.42+19.22+11.08</f>
        <v>346.96999999999997</v>
      </c>
      <c r="I28" s="26">
        <f t="shared" si="0"/>
        <v>4354.0400000000009</v>
      </c>
      <c r="J28" s="8">
        <f>125+353.94</f>
        <v>478.94</v>
      </c>
      <c r="K28" s="8">
        <v>74.760000000000005</v>
      </c>
      <c r="L28" s="8">
        <v>0</v>
      </c>
      <c r="M28" s="8">
        <v>34.979999999999997</v>
      </c>
      <c r="N28" s="8">
        <v>0</v>
      </c>
      <c r="O28" s="8">
        <v>28</v>
      </c>
      <c r="P28" s="8">
        <v>0</v>
      </c>
      <c r="Q28" s="8">
        <v>2788.98</v>
      </c>
      <c r="R28" s="9">
        <f t="shared" si="1"/>
        <v>3405.66</v>
      </c>
      <c r="S28" s="9">
        <f t="shared" si="4"/>
        <v>948.38000000000102</v>
      </c>
    </row>
    <row r="29" spans="1:19" x14ac:dyDescent="0.25">
      <c r="A29" s="10" t="s">
        <v>17</v>
      </c>
      <c r="B29" s="11" t="s">
        <v>11</v>
      </c>
      <c r="C29" s="12">
        <v>2383.35</v>
      </c>
      <c r="D29" s="9">
        <v>0</v>
      </c>
      <c r="E29" s="9">
        <v>0</v>
      </c>
      <c r="F29" s="8">
        <v>700.26</v>
      </c>
      <c r="G29" s="9">
        <v>0</v>
      </c>
      <c r="H29" s="8">
        <v>0</v>
      </c>
      <c r="I29" s="26">
        <f t="shared" si="0"/>
        <v>2383.35</v>
      </c>
      <c r="J29" s="8">
        <v>212.86</v>
      </c>
      <c r="K29" s="8">
        <v>18.62</v>
      </c>
      <c r="L29" s="8">
        <v>18.23</v>
      </c>
      <c r="M29" s="8">
        <v>34.979999999999997</v>
      </c>
      <c r="N29" s="8">
        <v>0</v>
      </c>
      <c r="O29" s="8">
        <v>24.35</v>
      </c>
      <c r="P29" s="8">
        <v>0</v>
      </c>
      <c r="Q29" s="8">
        <v>0</v>
      </c>
      <c r="R29" s="9">
        <f t="shared" si="1"/>
        <v>309.04000000000002</v>
      </c>
      <c r="S29" s="9">
        <f t="shared" si="4"/>
        <v>2074.31</v>
      </c>
    </row>
    <row r="30" spans="1:19" x14ac:dyDescent="0.25">
      <c r="A30" s="10" t="s">
        <v>34</v>
      </c>
      <c r="B30" s="11" t="s">
        <v>11</v>
      </c>
      <c r="C30" s="12">
        <v>2383.35</v>
      </c>
      <c r="D30" s="9">
        <v>0</v>
      </c>
      <c r="E30" s="9">
        <v>0</v>
      </c>
      <c r="F30" s="8">
        <v>700.26</v>
      </c>
      <c r="G30" s="9">
        <v>0</v>
      </c>
      <c r="H30" s="8">
        <v>0</v>
      </c>
      <c r="I30" s="26">
        <f t="shared" si="0"/>
        <v>2383.35</v>
      </c>
      <c r="J30" s="8">
        <v>213.1</v>
      </c>
      <c r="K30" s="8">
        <v>18.809999999999999</v>
      </c>
      <c r="L30" s="8">
        <v>15.49</v>
      </c>
      <c r="M30" s="8">
        <v>34.979999999999997</v>
      </c>
      <c r="N30" s="8">
        <v>0</v>
      </c>
      <c r="O30" s="8">
        <v>32.21</v>
      </c>
      <c r="P30" s="8">
        <v>0</v>
      </c>
      <c r="Q30" s="8">
        <v>0</v>
      </c>
      <c r="R30" s="9">
        <f t="shared" si="1"/>
        <v>314.58999999999997</v>
      </c>
      <c r="S30" s="9">
        <f t="shared" si="4"/>
        <v>2068.7599999999998</v>
      </c>
    </row>
    <row r="31" spans="1:19" x14ac:dyDescent="0.25">
      <c r="A31" s="10" t="s">
        <v>9</v>
      </c>
      <c r="B31" s="11" t="s">
        <v>7</v>
      </c>
      <c r="C31" s="12">
        <v>5204.3100000000004</v>
      </c>
      <c r="D31" s="9">
        <v>0</v>
      </c>
      <c r="E31" s="9">
        <v>0</v>
      </c>
      <c r="F31" s="8">
        <v>700.26</v>
      </c>
      <c r="G31" s="9">
        <v>0</v>
      </c>
      <c r="H31" s="8">
        <v>0</v>
      </c>
      <c r="I31" s="26">
        <f t="shared" si="0"/>
        <v>5204.3100000000004</v>
      </c>
      <c r="J31" s="8">
        <v>567.23</v>
      </c>
      <c r="K31" s="8">
        <v>396.5</v>
      </c>
      <c r="L31" s="8">
        <v>47.62</v>
      </c>
      <c r="M31" s="8">
        <v>34.979999999999997</v>
      </c>
      <c r="N31" s="8">
        <v>0</v>
      </c>
      <c r="O31" s="8">
        <f>28+79.3</f>
        <v>107.3</v>
      </c>
      <c r="P31" s="8">
        <v>0</v>
      </c>
      <c r="Q31" s="8">
        <v>0</v>
      </c>
      <c r="R31" s="9">
        <f t="shared" si="1"/>
        <v>1153.6299999999999</v>
      </c>
      <c r="S31" s="9">
        <f t="shared" si="4"/>
        <v>4050.6800000000003</v>
      </c>
    </row>
    <row r="32" spans="1:19" x14ac:dyDescent="0.25">
      <c r="A32" s="10" t="s">
        <v>5</v>
      </c>
      <c r="B32" s="11" t="s">
        <v>98</v>
      </c>
      <c r="C32" s="14">
        <v>9496.6</v>
      </c>
      <c r="D32" s="9">
        <f>1899.09+633.03</f>
        <v>2532.12</v>
      </c>
      <c r="E32" s="9">
        <v>0</v>
      </c>
      <c r="F32" s="8">
        <v>700.26</v>
      </c>
      <c r="G32" s="9">
        <v>0</v>
      </c>
      <c r="H32" s="8">
        <v>0</v>
      </c>
      <c r="I32" s="26">
        <f t="shared" si="0"/>
        <v>12028.720000000001</v>
      </c>
      <c r="J32" s="8">
        <f>393.14+227.89</f>
        <v>621.03</v>
      </c>
      <c r="K32" s="8">
        <f>1581.95+15.8</f>
        <v>1597.75</v>
      </c>
      <c r="L32" s="8">
        <v>0</v>
      </c>
      <c r="M32" s="8">
        <v>34.979999999999997</v>
      </c>
      <c r="N32" s="8">
        <v>0</v>
      </c>
      <c r="O32" s="8">
        <v>37.04</v>
      </c>
      <c r="P32" s="8">
        <v>403.17</v>
      </c>
      <c r="Q32" s="8">
        <v>2288.4299999999998</v>
      </c>
      <c r="R32" s="9">
        <f t="shared" si="1"/>
        <v>4579.2299999999996</v>
      </c>
      <c r="S32" s="27">
        <f>((I32-R32)+P32)</f>
        <v>7852.6600000000017</v>
      </c>
    </row>
    <row r="33" spans="1:19" x14ac:dyDescent="0.25">
      <c r="A33" s="10" t="s">
        <v>32</v>
      </c>
      <c r="B33" s="11" t="s">
        <v>13</v>
      </c>
      <c r="C33" s="12">
        <v>1150.5</v>
      </c>
      <c r="D33" s="9">
        <f>7477.31+2596.17</f>
        <v>10073.48</v>
      </c>
      <c r="E33" s="9">
        <v>0</v>
      </c>
      <c r="F33" s="8">
        <v>700.26</v>
      </c>
      <c r="G33" s="9">
        <v>0</v>
      </c>
      <c r="H33" s="8">
        <f>132.91+127.85+0.3+50.15+21.35+4.11</f>
        <v>336.67</v>
      </c>
      <c r="I33" s="26">
        <f t="shared" si="0"/>
        <v>11560.65</v>
      </c>
      <c r="J33" s="8">
        <f>82.81+538.22</f>
        <v>621.03</v>
      </c>
      <c r="K33" s="8">
        <v>2255</v>
      </c>
      <c r="L33" s="8">
        <v>0</v>
      </c>
      <c r="M33" s="8">
        <v>34.979999999999997</v>
      </c>
      <c r="N33" s="8">
        <v>0</v>
      </c>
      <c r="O33" s="8">
        <v>32.21</v>
      </c>
      <c r="P33" s="8">
        <v>0</v>
      </c>
      <c r="Q33" s="8">
        <v>7591.47</v>
      </c>
      <c r="R33" s="9">
        <f t="shared" si="1"/>
        <v>10534.69</v>
      </c>
      <c r="S33" s="9">
        <f t="shared" si="4"/>
        <v>1025.9599999999991</v>
      </c>
    </row>
    <row r="34" spans="1:19" x14ac:dyDescent="0.25">
      <c r="A34" s="10" t="s">
        <v>27</v>
      </c>
      <c r="B34" s="11" t="s">
        <v>11</v>
      </c>
      <c r="C34" s="12">
        <v>0</v>
      </c>
      <c r="D34" s="9">
        <v>0</v>
      </c>
      <c r="E34" s="9">
        <v>0</v>
      </c>
      <c r="F34" s="8">
        <v>0</v>
      </c>
      <c r="G34" s="8">
        <v>0</v>
      </c>
      <c r="H34" s="8">
        <v>0</v>
      </c>
      <c r="I34" s="26">
        <f t="shared" si="0"/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f>37.04+328.74</f>
        <v>365.78000000000003</v>
      </c>
      <c r="P34" s="8">
        <v>0</v>
      </c>
      <c r="Q34" s="8">
        <v>0</v>
      </c>
      <c r="R34" s="9">
        <f t="shared" si="1"/>
        <v>365.78000000000003</v>
      </c>
      <c r="S34" s="9">
        <f t="shared" si="4"/>
        <v>-365.78000000000003</v>
      </c>
    </row>
    <row r="35" spans="1:19" x14ac:dyDescent="0.25">
      <c r="A35" s="10" t="s">
        <v>58</v>
      </c>
      <c r="B35" s="11" t="s">
        <v>11</v>
      </c>
      <c r="C35" s="13">
        <v>2268.5500000000002</v>
      </c>
      <c r="D35" s="9">
        <v>0</v>
      </c>
      <c r="E35" s="9">
        <v>1330.09</v>
      </c>
      <c r="F35" s="8">
        <f>318.3*2</f>
        <v>636.6</v>
      </c>
      <c r="G35" s="9">
        <v>162</v>
      </c>
      <c r="H35" s="8">
        <f>198.84+251.55+48.38</f>
        <v>498.77</v>
      </c>
      <c r="I35" s="26">
        <f t="shared" si="0"/>
        <v>4097.41</v>
      </c>
      <c r="J35" s="8">
        <v>428.84</v>
      </c>
      <c r="K35" s="8">
        <v>165.66</v>
      </c>
      <c r="L35" s="8">
        <v>0</v>
      </c>
      <c r="M35" s="8">
        <v>31.8</v>
      </c>
      <c r="N35" s="8">
        <v>136.11000000000001</v>
      </c>
      <c r="O35" s="8">
        <v>51.99</v>
      </c>
      <c r="P35" s="8">
        <v>0</v>
      </c>
      <c r="Q35" s="8">
        <v>0</v>
      </c>
      <c r="R35" s="9">
        <f t="shared" si="1"/>
        <v>814.4</v>
      </c>
      <c r="S35" s="9">
        <f t="shared" si="4"/>
        <v>3283.0099999999998</v>
      </c>
    </row>
    <row r="36" spans="1:19" x14ac:dyDescent="0.25">
      <c r="A36" s="10" t="s">
        <v>95</v>
      </c>
      <c r="B36" s="11" t="s">
        <v>96</v>
      </c>
      <c r="C36" s="13">
        <v>11395.69</v>
      </c>
      <c r="D36" s="9">
        <v>0</v>
      </c>
      <c r="E36" s="9">
        <v>0</v>
      </c>
      <c r="F36" s="8">
        <v>700.26</v>
      </c>
      <c r="G36" s="9">
        <v>0</v>
      </c>
      <c r="H36" s="8">
        <v>0</v>
      </c>
      <c r="I36" s="26">
        <f t="shared" si="0"/>
        <v>11395.69</v>
      </c>
      <c r="J36" s="8">
        <v>621.03</v>
      </c>
      <c r="K36" s="8">
        <v>2093.67</v>
      </c>
      <c r="L36" s="8">
        <v>0</v>
      </c>
      <c r="M36" s="8">
        <v>34.979999999999997</v>
      </c>
      <c r="N36" s="8">
        <v>0</v>
      </c>
      <c r="O36" s="8">
        <v>0</v>
      </c>
      <c r="P36" s="8">
        <v>0</v>
      </c>
      <c r="Q36" s="8">
        <v>0</v>
      </c>
      <c r="R36" s="9">
        <f t="shared" si="1"/>
        <v>2749.68</v>
      </c>
      <c r="S36" s="9">
        <f t="shared" si="4"/>
        <v>8646.01</v>
      </c>
    </row>
    <row r="37" spans="1:19" x14ac:dyDescent="0.25">
      <c r="A37" s="10" t="s">
        <v>51</v>
      </c>
      <c r="B37" s="11" t="s">
        <v>52</v>
      </c>
      <c r="C37" s="13">
        <v>3598.64</v>
      </c>
      <c r="D37" s="9">
        <v>0</v>
      </c>
      <c r="E37" s="9">
        <v>0</v>
      </c>
      <c r="F37" s="8">
        <v>700.26</v>
      </c>
      <c r="G37" s="9">
        <v>409.5</v>
      </c>
      <c r="H37" s="8">
        <f>164.37+31.61</f>
        <v>195.98000000000002</v>
      </c>
      <c r="I37" s="26">
        <f t="shared" si="0"/>
        <v>3794.62</v>
      </c>
      <c r="J37" s="8">
        <v>417.4</v>
      </c>
      <c r="K37" s="8">
        <v>151.78</v>
      </c>
      <c r="L37" s="8">
        <v>0</v>
      </c>
      <c r="M37" s="8">
        <v>34.979999999999997</v>
      </c>
      <c r="N37" s="8">
        <v>215.92</v>
      </c>
      <c r="O37" s="8">
        <f>67.6+39.65</f>
        <v>107.25</v>
      </c>
      <c r="P37" s="8">
        <v>0</v>
      </c>
      <c r="Q37" s="8">
        <v>0</v>
      </c>
      <c r="R37" s="9">
        <f t="shared" si="1"/>
        <v>927.32999999999993</v>
      </c>
      <c r="S37" s="9">
        <f t="shared" si="4"/>
        <v>2867.29</v>
      </c>
    </row>
    <row r="38" spans="1:19" x14ac:dyDescent="0.25">
      <c r="A38" s="10" t="s">
        <v>53</v>
      </c>
      <c r="B38" s="11" t="s">
        <v>11</v>
      </c>
      <c r="C38" s="13">
        <v>1134.28</v>
      </c>
      <c r="D38" s="9">
        <f>1134.28+380.79</f>
        <v>1515.07</v>
      </c>
      <c r="E38" s="9">
        <v>0</v>
      </c>
      <c r="F38" s="8">
        <v>700.26</v>
      </c>
      <c r="G38" s="9">
        <v>81</v>
      </c>
      <c r="H38" s="8">
        <f>4.17+2.62+1.31</f>
        <v>8.1</v>
      </c>
      <c r="I38" s="26">
        <f t="shared" si="0"/>
        <v>2657.45</v>
      </c>
      <c r="J38" s="8">
        <f>116.89+121.85</f>
        <v>238.74</v>
      </c>
      <c r="K38" s="8">
        <v>0</v>
      </c>
      <c r="L38" s="8">
        <v>4.76</v>
      </c>
      <c r="M38" s="8">
        <v>34.979999999999997</v>
      </c>
      <c r="N38" s="8">
        <v>81</v>
      </c>
      <c r="O38" s="8">
        <f>37.04+65.43</f>
        <v>102.47</v>
      </c>
      <c r="P38" s="8">
        <v>403.17</v>
      </c>
      <c r="Q38" s="8">
        <v>1401.32</v>
      </c>
      <c r="R38" s="9">
        <f t="shared" si="1"/>
        <v>1863.27</v>
      </c>
      <c r="S38" s="9">
        <f>((I38-R38)+P38)</f>
        <v>1197.3499999999999</v>
      </c>
    </row>
    <row r="39" spans="1:19" x14ac:dyDescent="0.25">
      <c r="A39" s="10" t="s">
        <v>21</v>
      </c>
      <c r="B39" s="11" t="s">
        <v>68</v>
      </c>
      <c r="C39" s="12">
        <v>2383.35</v>
      </c>
      <c r="D39" s="9">
        <v>0</v>
      </c>
      <c r="E39" s="9">
        <v>4813.93</v>
      </c>
      <c r="F39" s="8">
        <v>700.26</v>
      </c>
      <c r="G39" s="9">
        <v>170.1</v>
      </c>
      <c r="H39" s="8">
        <f>90.7+17.44</f>
        <v>108.14</v>
      </c>
      <c r="I39" s="26">
        <f t="shared" si="0"/>
        <v>7305.420000000001</v>
      </c>
      <c r="J39" s="8">
        <v>621.03</v>
      </c>
      <c r="K39" s="8">
        <v>968.85</v>
      </c>
      <c r="L39" s="8">
        <v>0</v>
      </c>
      <c r="M39" s="8">
        <v>34.979999999999997</v>
      </c>
      <c r="N39" s="8">
        <v>143</v>
      </c>
      <c r="O39" s="8">
        <v>0</v>
      </c>
      <c r="P39" s="8">
        <v>0</v>
      </c>
      <c r="Q39" s="8">
        <v>0</v>
      </c>
      <c r="R39" s="9">
        <f t="shared" si="1"/>
        <v>1767.8600000000001</v>
      </c>
      <c r="S39" s="9">
        <f t="shared" si="4"/>
        <v>5537.5600000000013</v>
      </c>
    </row>
    <row r="40" spans="1:19" x14ac:dyDescent="0.25">
      <c r="A40" s="10" t="s">
        <v>61</v>
      </c>
      <c r="B40" s="11" t="s">
        <v>11</v>
      </c>
      <c r="C40" s="13">
        <v>2268.5500000000002</v>
      </c>
      <c r="D40" s="9">
        <v>0</v>
      </c>
      <c r="E40" s="9">
        <v>0</v>
      </c>
      <c r="F40" s="8">
        <v>700.26</v>
      </c>
      <c r="G40" s="9">
        <v>287.3</v>
      </c>
      <c r="H40" s="8">
        <v>0</v>
      </c>
      <c r="I40" s="26">
        <f t="shared" si="0"/>
        <v>2268.5500000000002</v>
      </c>
      <c r="J40" s="8">
        <v>203.72</v>
      </c>
      <c r="K40" s="8">
        <v>11.69</v>
      </c>
      <c r="L40" s="8">
        <v>4.99</v>
      </c>
      <c r="M40" s="8">
        <v>34.979999999999997</v>
      </c>
      <c r="N40" s="8">
        <v>136.11000000000001</v>
      </c>
      <c r="O40" s="8">
        <f>67.6+39.65</f>
        <v>107.25</v>
      </c>
      <c r="P40" s="8">
        <v>0</v>
      </c>
      <c r="Q40" s="8">
        <v>0</v>
      </c>
      <c r="R40" s="9">
        <f t="shared" si="1"/>
        <v>498.74</v>
      </c>
      <c r="S40" s="9">
        <f t="shared" si="4"/>
        <v>1769.8100000000002</v>
      </c>
    </row>
    <row r="41" spans="1:19" x14ac:dyDescent="0.25">
      <c r="A41" s="10" t="s">
        <v>47</v>
      </c>
      <c r="B41" s="11" t="s">
        <v>48</v>
      </c>
      <c r="C41" s="13">
        <v>7197.28</v>
      </c>
      <c r="D41" s="9">
        <v>0</v>
      </c>
      <c r="E41" s="9">
        <v>0</v>
      </c>
      <c r="F41" s="8">
        <v>700.26</v>
      </c>
      <c r="G41" s="9">
        <v>0</v>
      </c>
      <c r="H41" s="8">
        <f>138.91+668.4+155.25</f>
        <v>962.56</v>
      </c>
      <c r="I41" s="26">
        <f t="shared" si="0"/>
        <v>8159.84</v>
      </c>
      <c r="J41" s="8">
        <v>621.03</v>
      </c>
      <c r="K41" s="8">
        <v>1203.81</v>
      </c>
      <c r="L41" s="8">
        <v>0</v>
      </c>
      <c r="M41" s="8">
        <v>34.979999999999997</v>
      </c>
      <c r="N41" s="8">
        <v>0</v>
      </c>
      <c r="O41" s="8">
        <v>51.99</v>
      </c>
      <c r="P41" s="8">
        <v>0</v>
      </c>
      <c r="Q41" s="8">
        <v>0</v>
      </c>
      <c r="R41" s="9">
        <f t="shared" si="1"/>
        <v>1911.81</v>
      </c>
      <c r="S41" s="9">
        <f t="shared" si="4"/>
        <v>6248.0300000000007</v>
      </c>
    </row>
    <row r="42" spans="1:19" x14ac:dyDescent="0.25">
      <c r="A42" s="10" t="s">
        <v>24</v>
      </c>
      <c r="B42" s="11" t="s">
        <v>64</v>
      </c>
      <c r="C42" s="12">
        <v>8627.67</v>
      </c>
      <c r="D42" s="9">
        <v>0</v>
      </c>
      <c r="E42" s="9">
        <v>2768.02</v>
      </c>
      <c r="F42" s="8">
        <v>700.26</v>
      </c>
      <c r="G42" s="9">
        <v>0</v>
      </c>
      <c r="H42" s="8">
        <f>17.47+3.36</f>
        <v>20.83</v>
      </c>
      <c r="I42" s="26">
        <f t="shared" si="0"/>
        <v>11416.52</v>
      </c>
      <c r="J42" s="8">
        <f>347.24+273.79</f>
        <v>621.03</v>
      </c>
      <c r="K42" s="8">
        <v>2047.26</v>
      </c>
      <c r="L42" s="8">
        <v>0</v>
      </c>
      <c r="M42" s="8">
        <v>34.979999999999997</v>
      </c>
      <c r="N42" s="8">
        <v>0</v>
      </c>
      <c r="O42" s="8">
        <v>32.21</v>
      </c>
      <c r="P42" s="8">
        <v>0</v>
      </c>
      <c r="Q42" s="8">
        <v>0</v>
      </c>
      <c r="R42" s="9">
        <f t="shared" si="1"/>
        <v>2735.48</v>
      </c>
      <c r="S42" s="9">
        <f t="shared" si="4"/>
        <v>8681.0400000000009</v>
      </c>
    </row>
    <row r="43" spans="1:19" x14ac:dyDescent="0.25">
      <c r="A43" s="10" t="s">
        <v>0</v>
      </c>
      <c r="B43" s="11" t="s">
        <v>49</v>
      </c>
      <c r="C43" s="14">
        <v>11395.69</v>
      </c>
      <c r="D43" s="9">
        <v>0</v>
      </c>
      <c r="E43" s="9">
        <v>0</v>
      </c>
      <c r="F43" s="8">
        <v>700.26</v>
      </c>
      <c r="G43" s="9">
        <v>0</v>
      </c>
      <c r="H43" s="8">
        <v>0</v>
      </c>
      <c r="I43" s="26">
        <f t="shared" si="0"/>
        <v>11395.69</v>
      </c>
      <c r="J43" s="8">
        <v>621.03</v>
      </c>
      <c r="K43" s="8">
        <v>2093.67</v>
      </c>
      <c r="L43" s="8">
        <v>0</v>
      </c>
      <c r="M43" s="8">
        <v>34.979999999999997</v>
      </c>
      <c r="N43" s="8">
        <v>0</v>
      </c>
      <c r="O43" s="8">
        <f>126.92+79.3</f>
        <v>206.22</v>
      </c>
      <c r="P43" s="8">
        <v>0</v>
      </c>
      <c r="Q43" s="8">
        <v>0</v>
      </c>
      <c r="R43" s="9">
        <f t="shared" si="1"/>
        <v>2955.8999999999996</v>
      </c>
      <c r="S43" s="9">
        <f t="shared" si="4"/>
        <v>8439.7900000000009</v>
      </c>
    </row>
    <row r="44" spans="1:19" x14ac:dyDescent="0.25">
      <c r="A44" s="10" t="s">
        <v>26</v>
      </c>
      <c r="B44" s="11" t="s">
        <v>13</v>
      </c>
      <c r="C44" s="12">
        <v>7764.9</v>
      </c>
      <c r="D44" s="9">
        <f>862.77+289.01+163.46</f>
        <v>1315.24</v>
      </c>
      <c r="E44" s="9">
        <v>0</v>
      </c>
      <c r="F44" s="8">
        <v>700.26</v>
      </c>
      <c r="G44" s="9">
        <v>0</v>
      </c>
      <c r="H44" s="8">
        <f>1.23+2.42+0.61+17.47+3.36</f>
        <v>25.089999999999996</v>
      </c>
      <c r="I44" s="26">
        <f t="shared" si="0"/>
        <v>9105.23</v>
      </c>
      <c r="J44" s="8">
        <f>496.82+124.21</f>
        <v>621.03</v>
      </c>
      <c r="K44" s="8">
        <v>1135.0899999999999</v>
      </c>
      <c r="L44" s="8">
        <v>0</v>
      </c>
      <c r="M44" s="8">
        <v>34.979999999999997</v>
      </c>
      <c r="N44" s="8">
        <v>0</v>
      </c>
      <c r="O44" s="8">
        <v>32.21</v>
      </c>
      <c r="P44" s="8">
        <v>0</v>
      </c>
      <c r="Q44" s="8">
        <v>1031.83</v>
      </c>
      <c r="R44" s="9">
        <f t="shared" si="1"/>
        <v>2855.14</v>
      </c>
      <c r="S44" s="9">
        <f t="shared" si="4"/>
        <v>6250.09</v>
      </c>
    </row>
    <row r="45" spans="1:19" x14ac:dyDescent="0.25">
      <c r="A45" s="10" t="s">
        <v>31</v>
      </c>
      <c r="B45" s="11" t="s">
        <v>11</v>
      </c>
      <c r="C45" s="12">
        <v>2383.35</v>
      </c>
      <c r="D45" s="9">
        <v>0</v>
      </c>
      <c r="E45" s="9">
        <v>0</v>
      </c>
      <c r="F45" s="8">
        <v>700.26</v>
      </c>
      <c r="G45" s="9">
        <v>0</v>
      </c>
      <c r="H45" s="8">
        <v>0</v>
      </c>
      <c r="I45" s="26">
        <f t="shared" si="0"/>
        <v>2383.35</v>
      </c>
      <c r="J45" s="8">
        <v>210.4</v>
      </c>
      <c r="K45" s="8">
        <v>16.760000000000002</v>
      </c>
      <c r="L45" s="8">
        <v>45.52</v>
      </c>
      <c r="M45" s="8">
        <v>34.979999999999997</v>
      </c>
      <c r="N45" s="8">
        <v>0</v>
      </c>
      <c r="O45" s="8">
        <v>28</v>
      </c>
      <c r="P45" s="8">
        <v>0</v>
      </c>
      <c r="Q45" s="8">
        <v>0</v>
      </c>
      <c r="R45" s="9">
        <f t="shared" si="1"/>
        <v>335.66</v>
      </c>
      <c r="S45" s="9">
        <f t="shared" si="4"/>
        <v>2047.6899999999998</v>
      </c>
    </row>
    <row r="46" spans="1:19" x14ac:dyDescent="0.25">
      <c r="A46" s="10" t="s">
        <v>44</v>
      </c>
      <c r="B46" s="11" t="s">
        <v>45</v>
      </c>
      <c r="C46" s="12">
        <v>5204.3100000000004</v>
      </c>
      <c r="D46" s="18">
        <v>0</v>
      </c>
      <c r="E46" s="18">
        <v>0</v>
      </c>
      <c r="F46" s="8">
        <v>700.26</v>
      </c>
      <c r="G46" s="18">
        <v>0</v>
      </c>
      <c r="H46" s="8">
        <v>0</v>
      </c>
      <c r="I46" s="26">
        <f t="shared" si="0"/>
        <v>5204.3100000000004</v>
      </c>
      <c r="J46" s="8">
        <v>572.47</v>
      </c>
      <c r="K46" s="17">
        <v>406.03</v>
      </c>
      <c r="L46" s="17">
        <v>0</v>
      </c>
      <c r="M46" s="8">
        <v>34.979999999999997</v>
      </c>
      <c r="N46" s="17">
        <v>0</v>
      </c>
      <c r="O46" s="17">
        <v>28</v>
      </c>
      <c r="P46" s="17">
        <v>0</v>
      </c>
      <c r="Q46" s="8">
        <v>0</v>
      </c>
      <c r="R46" s="9">
        <f t="shared" si="1"/>
        <v>1041.48</v>
      </c>
      <c r="S46" s="9">
        <f t="shared" si="4"/>
        <v>4162.83</v>
      </c>
    </row>
    <row r="47" spans="1:19" x14ac:dyDescent="0.25">
      <c r="A47" s="10" t="s">
        <v>39</v>
      </c>
      <c r="B47" s="11" t="s">
        <v>13</v>
      </c>
      <c r="C47" s="12">
        <v>6358.8</v>
      </c>
      <c r="D47" s="9">
        <f>1935.42+649.74</f>
        <v>2585.16</v>
      </c>
      <c r="E47" s="9">
        <v>0</v>
      </c>
      <c r="F47" s="8">
        <v>700.26</v>
      </c>
      <c r="G47" s="9">
        <v>0</v>
      </c>
      <c r="H47" s="8">
        <f>11.76+0.08+1.96+265.42+492.7+145.79</f>
        <v>917.71</v>
      </c>
      <c r="I47" s="26">
        <f t="shared" si="0"/>
        <v>9861.6699999999983</v>
      </c>
      <c r="J47" s="8">
        <f>335.15+285.88</f>
        <v>621.03</v>
      </c>
      <c r="K47" s="8">
        <v>1035.72</v>
      </c>
      <c r="L47" s="8">
        <v>0</v>
      </c>
      <c r="M47" s="8">
        <v>34.979999999999997</v>
      </c>
      <c r="N47" s="8">
        <v>0</v>
      </c>
      <c r="O47" s="8">
        <v>0</v>
      </c>
      <c r="P47" s="8">
        <v>0</v>
      </c>
      <c r="Q47" s="8">
        <v>2313.08</v>
      </c>
      <c r="R47" s="9">
        <f t="shared" si="1"/>
        <v>4004.81</v>
      </c>
      <c r="S47" s="9">
        <f t="shared" si="4"/>
        <v>5856.8599999999988</v>
      </c>
    </row>
    <row r="48" spans="1:19" x14ac:dyDescent="0.25">
      <c r="A48" s="10" t="s">
        <v>14</v>
      </c>
      <c r="B48" s="11" t="s">
        <v>13</v>
      </c>
      <c r="C48" s="12">
        <v>8627.67</v>
      </c>
      <c r="D48" s="9">
        <v>0</v>
      </c>
      <c r="E48" s="9">
        <v>0</v>
      </c>
      <c r="F48" s="8">
        <v>636.6</v>
      </c>
      <c r="G48" s="9">
        <v>0</v>
      </c>
      <c r="H48" s="8">
        <f>863.85+166.13</f>
        <v>1029.98</v>
      </c>
      <c r="I48" s="26">
        <f t="shared" si="0"/>
        <v>9657.65</v>
      </c>
      <c r="J48" s="8">
        <v>621.03</v>
      </c>
      <c r="K48" s="8">
        <v>1615.71</v>
      </c>
      <c r="L48" s="8">
        <v>0</v>
      </c>
      <c r="M48" s="8">
        <v>31.8</v>
      </c>
      <c r="N48" s="8">
        <v>0</v>
      </c>
      <c r="O48" s="8">
        <v>0</v>
      </c>
      <c r="P48" s="8">
        <v>0</v>
      </c>
      <c r="Q48" s="8">
        <v>0</v>
      </c>
      <c r="R48" s="9">
        <f>J48+K48+L48+M48+N48+O48+Q48+501.73</f>
        <v>2770.27</v>
      </c>
      <c r="S48" s="9">
        <f t="shared" si="4"/>
        <v>6887.3799999999992</v>
      </c>
    </row>
    <row r="49" spans="1:19" x14ac:dyDescent="0.25">
      <c r="A49" s="10" t="s">
        <v>82</v>
      </c>
      <c r="B49" s="11" t="s">
        <v>11</v>
      </c>
      <c r="C49" s="12">
        <v>2268.5500000000002</v>
      </c>
      <c r="D49" s="9">
        <v>0</v>
      </c>
      <c r="E49" s="9">
        <v>0</v>
      </c>
      <c r="F49" s="8">
        <v>700.26</v>
      </c>
      <c r="G49" s="9">
        <v>0</v>
      </c>
      <c r="H49" s="8">
        <v>0</v>
      </c>
      <c r="I49" s="26">
        <f t="shared" si="0"/>
        <v>2268.5500000000002</v>
      </c>
      <c r="J49" s="8">
        <v>177.06</v>
      </c>
      <c r="K49" s="8">
        <v>0</v>
      </c>
      <c r="L49" s="8">
        <f>226.86+74.3</f>
        <v>301.16000000000003</v>
      </c>
      <c r="M49" s="8">
        <v>34.979999999999997</v>
      </c>
      <c r="N49" s="8">
        <v>0</v>
      </c>
      <c r="O49" s="8">
        <f>126.92+39.65</f>
        <v>166.57</v>
      </c>
      <c r="P49" s="8">
        <v>0</v>
      </c>
      <c r="Q49" s="8">
        <v>0</v>
      </c>
      <c r="R49" s="9">
        <f t="shared" si="1"/>
        <v>679.77</v>
      </c>
      <c r="S49" s="9">
        <f t="shared" si="4"/>
        <v>1588.7800000000002</v>
      </c>
    </row>
    <row r="50" spans="1:19" ht="15.75" customHeight="1" x14ac:dyDescent="0.25">
      <c r="A50" s="10" t="s">
        <v>38</v>
      </c>
      <c r="B50" s="11" t="s">
        <v>99</v>
      </c>
      <c r="C50" s="12">
        <v>2291.2399999999998</v>
      </c>
      <c r="D50" s="9">
        <v>0</v>
      </c>
      <c r="E50" s="9">
        <v>1307.4000000000001</v>
      </c>
      <c r="F50" s="8">
        <v>700.26</v>
      </c>
      <c r="G50" s="9">
        <v>376.6</v>
      </c>
      <c r="H50" s="8">
        <v>0</v>
      </c>
      <c r="I50" s="26">
        <f t="shared" si="0"/>
        <v>3598.64</v>
      </c>
      <c r="J50" s="8">
        <v>395.85</v>
      </c>
      <c r="K50" s="8">
        <v>125.62</v>
      </c>
      <c r="L50" s="8">
        <v>0</v>
      </c>
      <c r="M50" s="8">
        <v>34.979999999999997</v>
      </c>
      <c r="N50" s="8">
        <v>137.47</v>
      </c>
      <c r="O50" s="8">
        <v>28</v>
      </c>
      <c r="P50" s="8">
        <v>0</v>
      </c>
      <c r="Q50" s="8">
        <v>0</v>
      </c>
      <c r="R50" s="9">
        <f t="shared" si="1"/>
        <v>721.92000000000007</v>
      </c>
      <c r="S50" s="9">
        <f t="shared" si="4"/>
        <v>2876.72</v>
      </c>
    </row>
    <row r="51" spans="1:19" ht="15.75" customHeight="1" x14ac:dyDescent="0.25">
      <c r="A51" s="10" t="s">
        <v>97</v>
      </c>
      <c r="B51" s="11" t="s">
        <v>11</v>
      </c>
      <c r="C51" s="12">
        <f>2268.55+82.78</f>
        <v>2351.3300000000004</v>
      </c>
      <c r="D51" s="9">
        <v>0</v>
      </c>
      <c r="E51" s="9">
        <v>0</v>
      </c>
      <c r="F51" s="8">
        <f>413.79*2</f>
        <v>827.58</v>
      </c>
      <c r="G51" s="9">
        <v>0</v>
      </c>
      <c r="H51" s="8">
        <v>0</v>
      </c>
      <c r="I51" s="26">
        <f t="shared" si="0"/>
        <v>2351.3300000000004</v>
      </c>
      <c r="J51" s="8">
        <v>204.16</v>
      </c>
      <c r="K51" s="8">
        <v>12.03</v>
      </c>
      <c r="L51" s="8">
        <v>0</v>
      </c>
      <c r="M51" s="8">
        <v>41.34</v>
      </c>
      <c r="N51" s="8">
        <v>0</v>
      </c>
      <c r="O51" s="8">
        <v>0</v>
      </c>
      <c r="P51" s="8">
        <v>0</v>
      </c>
      <c r="Q51" s="8">
        <v>0</v>
      </c>
      <c r="R51" s="9">
        <f t="shared" si="1"/>
        <v>257.52999999999997</v>
      </c>
      <c r="S51" s="9">
        <f t="shared" si="4"/>
        <v>2093.8000000000002</v>
      </c>
    </row>
    <row r="52" spans="1:19" x14ac:dyDescent="0.25">
      <c r="A52" s="10" t="s">
        <v>36</v>
      </c>
      <c r="B52" s="11" t="s">
        <v>11</v>
      </c>
      <c r="C52" s="12">
        <v>2383.35</v>
      </c>
      <c r="D52" s="9">
        <v>0</v>
      </c>
      <c r="E52" s="9">
        <v>1215.29</v>
      </c>
      <c r="F52" s="8">
        <f>206.89*2</f>
        <v>413.78</v>
      </c>
      <c r="G52" s="9">
        <v>0</v>
      </c>
      <c r="H52" s="8">
        <f>6.12+93.12+19.08</f>
        <v>118.32000000000001</v>
      </c>
      <c r="I52" s="26">
        <f t="shared" si="0"/>
        <v>3716.96</v>
      </c>
      <c r="J52" s="8">
        <v>408.86</v>
      </c>
      <c r="K52" s="8">
        <v>141.41999999999999</v>
      </c>
      <c r="L52" s="8">
        <v>0</v>
      </c>
      <c r="M52" s="8">
        <v>20.67</v>
      </c>
      <c r="N52" s="8">
        <v>0</v>
      </c>
      <c r="O52" s="8">
        <v>28</v>
      </c>
      <c r="P52" s="8">
        <v>0</v>
      </c>
      <c r="Q52" s="8">
        <v>0</v>
      </c>
      <c r="R52" s="9">
        <f t="shared" si="1"/>
        <v>598.94999999999993</v>
      </c>
      <c r="S52" s="9">
        <f t="shared" si="4"/>
        <v>3118.01</v>
      </c>
    </row>
    <row r="53" spans="1:19" x14ac:dyDescent="0.25">
      <c r="A53" s="10" t="s">
        <v>22</v>
      </c>
      <c r="B53" s="11" t="s">
        <v>66</v>
      </c>
      <c r="C53" s="12">
        <v>2383.35</v>
      </c>
      <c r="D53" s="9">
        <v>0</v>
      </c>
      <c r="E53" s="9">
        <v>4813.93</v>
      </c>
      <c r="F53" s="8">
        <v>700.26</v>
      </c>
      <c r="G53" s="9">
        <v>0</v>
      </c>
      <c r="H53" s="8">
        <f>2.16+434.62+84</f>
        <v>520.78</v>
      </c>
      <c r="I53" s="26">
        <f t="shared" si="0"/>
        <v>7718.06</v>
      </c>
      <c r="J53" s="8">
        <v>621.03</v>
      </c>
      <c r="K53" s="8">
        <v>1082.32</v>
      </c>
      <c r="L53" s="8">
        <v>0</v>
      </c>
      <c r="M53" s="8">
        <v>34.979999999999997</v>
      </c>
      <c r="N53" s="8">
        <v>0</v>
      </c>
      <c r="O53" s="8">
        <v>0</v>
      </c>
      <c r="P53" s="8">
        <v>0</v>
      </c>
      <c r="Q53" s="8">
        <v>0</v>
      </c>
      <c r="R53" s="9">
        <f t="shared" si="1"/>
        <v>1738.33</v>
      </c>
      <c r="S53" s="9">
        <f t="shared" si="4"/>
        <v>5979.7300000000005</v>
      </c>
    </row>
    <row r="54" spans="1:19" x14ac:dyDescent="0.25">
      <c r="A54" s="10" t="s">
        <v>54</v>
      </c>
      <c r="B54" s="11" t="s">
        <v>7</v>
      </c>
      <c r="C54" s="12">
        <v>5204.3100000000004</v>
      </c>
      <c r="D54" s="9">
        <v>0</v>
      </c>
      <c r="E54" s="9">
        <v>0</v>
      </c>
      <c r="F54" s="8">
        <v>700.26</v>
      </c>
      <c r="G54" s="9">
        <v>0</v>
      </c>
      <c r="H54" s="8">
        <f>77.28+14.86</f>
        <v>92.14</v>
      </c>
      <c r="I54" s="26">
        <f t="shared" si="0"/>
        <v>5296.4500000000007</v>
      </c>
      <c r="J54" s="8">
        <v>582.6</v>
      </c>
      <c r="K54" s="8">
        <v>426.95</v>
      </c>
      <c r="L54" s="8">
        <v>0</v>
      </c>
      <c r="M54" s="8">
        <v>34.979999999999997</v>
      </c>
      <c r="N54" s="8">
        <v>0</v>
      </c>
      <c r="O54" s="8">
        <f>32.21+128.87</f>
        <v>161.08000000000001</v>
      </c>
      <c r="P54" s="8">
        <v>0</v>
      </c>
      <c r="Q54" s="8">
        <v>0</v>
      </c>
      <c r="R54" s="9">
        <f t="shared" si="1"/>
        <v>1205.6099999999999</v>
      </c>
      <c r="S54" s="9">
        <f t="shared" si="4"/>
        <v>4090.8400000000011</v>
      </c>
    </row>
    <row r="55" spans="1:19" x14ac:dyDescent="0.25">
      <c r="A55" s="10" t="s">
        <v>59</v>
      </c>
      <c r="B55" s="11" t="s">
        <v>11</v>
      </c>
      <c r="C55" s="13">
        <v>2268.5500000000002</v>
      </c>
      <c r="D55" s="9">
        <v>0</v>
      </c>
      <c r="E55" s="9">
        <v>0</v>
      </c>
      <c r="F55" s="8">
        <v>700.26</v>
      </c>
      <c r="G55" s="9">
        <v>0</v>
      </c>
      <c r="H55" s="8">
        <f>21.27+4.09</f>
        <v>25.36</v>
      </c>
      <c r="I55" s="26">
        <f t="shared" si="0"/>
        <v>2293.9100000000003</v>
      </c>
      <c r="J55" s="8">
        <v>206.45</v>
      </c>
      <c r="K55" s="8">
        <v>13.76</v>
      </c>
      <c r="L55" s="8">
        <v>0</v>
      </c>
      <c r="M55" s="8">
        <v>34.979999999999997</v>
      </c>
      <c r="N55" s="8">
        <v>0</v>
      </c>
      <c r="O55" s="8">
        <v>67.599999999999994</v>
      </c>
      <c r="P55" s="8">
        <v>0</v>
      </c>
      <c r="Q55" s="8">
        <v>0</v>
      </c>
      <c r="R55" s="9">
        <f t="shared" si="1"/>
        <v>322.78999999999996</v>
      </c>
      <c r="S55" s="9">
        <f t="shared" si="4"/>
        <v>1971.1200000000003</v>
      </c>
    </row>
    <row r="56" spans="1:19" x14ac:dyDescent="0.25">
      <c r="A56" s="10" t="s">
        <v>60</v>
      </c>
      <c r="B56" s="11" t="s">
        <v>63</v>
      </c>
      <c r="C56" s="13">
        <v>8212.15</v>
      </c>
      <c r="D56" s="9">
        <v>0</v>
      </c>
      <c r="E56" s="9">
        <v>6287.85</v>
      </c>
      <c r="F56" s="8">
        <f>286.47*2</f>
        <v>572.94000000000005</v>
      </c>
      <c r="G56" s="9">
        <v>830.85</v>
      </c>
      <c r="H56" s="8">
        <v>0</v>
      </c>
      <c r="I56" s="26">
        <f t="shared" si="0"/>
        <v>14500</v>
      </c>
      <c r="J56" s="8">
        <v>621.03</v>
      </c>
      <c r="K56" s="8">
        <v>2947.36</v>
      </c>
      <c r="L56" s="8">
        <v>0</v>
      </c>
      <c r="M56" s="8">
        <v>28.62</v>
      </c>
      <c r="N56" s="8">
        <v>492.73</v>
      </c>
      <c r="O56" s="8">
        <v>42.97</v>
      </c>
      <c r="P56" s="8">
        <v>403.17</v>
      </c>
      <c r="Q56" s="8">
        <v>0</v>
      </c>
      <c r="R56" s="9">
        <f>J56+K56+L56+M56+N56+O56+Q56+273.74</f>
        <v>4406.45</v>
      </c>
      <c r="S56" s="27">
        <f>((I56-R56)+P56)</f>
        <v>10496.72</v>
      </c>
    </row>
    <row r="57" spans="1:19" x14ac:dyDescent="0.25">
      <c r="A57" s="10" t="s">
        <v>35</v>
      </c>
      <c r="B57" s="11" t="s">
        <v>65</v>
      </c>
      <c r="C57" s="12">
        <v>2383.35</v>
      </c>
      <c r="D57" s="9">
        <v>0</v>
      </c>
      <c r="E57" s="9">
        <v>1215.29</v>
      </c>
      <c r="F57" s="8">
        <v>700.26</v>
      </c>
      <c r="G57" s="9">
        <v>466.2</v>
      </c>
      <c r="H57" s="8">
        <v>0</v>
      </c>
      <c r="I57" s="26">
        <f t="shared" si="0"/>
        <v>3598.64</v>
      </c>
      <c r="J57" s="8">
        <v>395.85</v>
      </c>
      <c r="K57" s="8">
        <v>125.62</v>
      </c>
      <c r="L57" s="8">
        <v>0</v>
      </c>
      <c r="M57" s="8">
        <v>34.979999999999997</v>
      </c>
      <c r="N57" s="8">
        <v>143</v>
      </c>
      <c r="O57" s="8">
        <v>28</v>
      </c>
      <c r="P57" s="8">
        <v>0</v>
      </c>
      <c r="Q57" s="8">
        <v>0</v>
      </c>
      <c r="R57" s="9">
        <f t="shared" si="1"/>
        <v>727.45</v>
      </c>
      <c r="S57" s="9">
        <f t="shared" si="4"/>
        <v>2871.1899999999996</v>
      </c>
    </row>
    <row r="58" spans="1:19" x14ac:dyDescent="0.25">
      <c r="A58" s="10" t="s">
        <v>33</v>
      </c>
      <c r="B58" s="11" t="s">
        <v>69</v>
      </c>
      <c r="C58" s="12">
        <f>794.5+1589</f>
        <v>2383.5</v>
      </c>
      <c r="D58" s="9">
        <v>0</v>
      </c>
      <c r="E58" s="9">
        <v>1215.29</v>
      </c>
      <c r="F58" s="8">
        <v>700.26</v>
      </c>
      <c r="G58" s="9">
        <v>0</v>
      </c>
      <c r="H58" s="8">
        <v>0</v>
      </c>
      <c r="I58" s="26">
        <f t="shared" si="0"/>
        <v>3598.79</v>
      </c>
      <c r="J58" s="8">
        <v>390.68</v>
      </c>
      <c r="K58" s="8">
        <v>119.36</v>
      </c>
      <c r="L58" s="8">
        <v>47.07</v>
      </c>
      <c r="M58" s="8">
        <v>34.979999999999997</v>
      </c>
      <c r="N58" s="8">
        <v>0</v>
      </c>
      <c r="O58" s="8">
        <v>32.21</v>
      </c>
      <c r="P58" s="8">
        <v>0</v>
      </c>
      <c r="Q58" s="8">
        <v>0</v>
      </c>
      <c r="R58" s="9">
        <f t="shared" si="1"/>
        <v>624.30000000000007</v>
      </c>
      <c r="S58" s="9">
        <f t="shared" si="4"/>
        <v>2974.49</v>
      </c>
    </row>
    <row r="59" spans="1:19" x14ac:dyDescent="0.25">
      <c r="A59" s="10" t="s">
        <v>46</v>
      </c>
      <c r="B59" s="11" t="s">
        <v>69</v>
      </c>
      <c r="C59" s="13">
        <v>831.76</v>
      </c>
      <c r="D59" s="19">
        <f>1436.75+478.91</f>
        <v>1915.66</v>
      </c>
      <c r="E59" s="9">
        <v>1330.09</v>
      </c>
      <c r="F59" s="8">
        <v>700.26</v>
      </c>
      <c r="G59" s="9">
        <v>102.9</v>
      </c>
      <c r="H59" s="8">
        <v>0</v>
      </c>
      <c r="I59" s="26">
        <f t="shared" si="0"/>
        <v>4077.51</v>
      </c>
      <c r="J59" s="8">
        <f>237.8+210.72</f>
        <v>448.52</v>
      </c>
      <c r="K59" s="8">
        <v>59.1</v>
      </c>
      <c r="L59" s="8">
        <v>0</v>
      </c>
      <c r="M59" s="8">
        <v>34.979999999999997</v>
      </c>
      <c r="N59" s="8">
        <v>102.9</v>
      </c>
      <c r="O59" s="8">
        <f>28+118.95</f>
        <v>146.94999999999999</v>
      </c>
      <c r="P59" s="8">
        <v>0</v>
      </c>
      <c r="Q59" s="8">
        <v>1645.84</v>
      </c>
      <c r="R59" s="9">
        <f t="shared" si="1"/>
        <v>2438.29</v>
      </c>
      <c r="S59" s="9">
        <f t="shared" si="4"/>
        <v>1639.2200000000003</v>
      </c>
    </row>
    <row r="60" spans="1:19" x14ac:dyDescent="0.25">
      <c r="A60" s="10" t="s">
        <v>23</v>
      </c>
      <c r="B60" s="11" t="s">
        <v>100</v>
      </c>
      <c r="C60" s="12">
        <v>5467.66</v>
      </c>
      <c r="D60" s="9">
        <v>0</v>
      </c>
      <c r="E60" s="9">
        <v>1729.62</v>
      </c>
      <c r="F60" s="8">
        <v>700.26</v>
      </c>
      <c r="G60" s="9">
        <v>0</v>
      </c>
      <c r="H60" s="8">
        <v>0</v>
      </c>
      <c r="I60" s="26">
        <f t="shared" si="0"/>
        <v>7197.28</v>
      </c>
      <c r="J60" s="8">
        <v>621.03</v>
      </c>
      <c r="K60" s="8">
        <v>936.25</v>
      </c>
      <c r="L60" s="8">
        <v>10.39</v>
      </c>
      <c r="M60" s="8">
        <v>34.979999999999997</v>
      </c>
      <c r="N60" s="8">
        <v>0</v>
      </c>
      <c r="O60" s="8">
        <v>28</v>
      </c>
      <c r="P60" s="8">
        <v>0</v>
      </c>
      <c r="Q60" s="8">
        <v>0</v>
      </c>
      <c r="R60" s="9">
        <f t="shared" si="1"/>
        <v>1630.65</v>
      </c>
      <c r="S60" s="9">
        <f t="shared" si="4"/>
        <v>5566.6299999999992</v>
      </c>
    </row>
    <row r="61" spans="1:19" x14ac:dyDescent="0.25">
      <c r="A61" s="25" t="s">
        <v>91</v>
      </c>
      <c r="B61" s="25"/>
      <c r="C61" s="20">
        <f>SUM(C6:C60)</f>
        <v>261566.02000000002</v>
      </c>
      <c r="D61" s="21">
        <f>SUM(D6:D60)</f>
        <v>25399.52</v>
      </c>
      <c r="E61" s="21">
        <f>SUM(E6:E60)</f>
        <v>33954.83</v>
      </c>
      <c r="F61" s="20">
        <f t="shared" ref="F61:S61" si="5">SUM(F6:F60)</f>
        <v>37432.059999999983</v>
      </c>
      <c r="G61" s="21">
        <f t="shared" si="5"/>
        <v>4229.2</v>
      </c>
      <c r="H61" s="21">
        <f t="shared" si="5"/>
        <v>7813.81</v>
      </c>
      <c r="I61" s="20">
        <f t="shared" si="5"/>
        <v>328734.18000000011</v>
      </c>
      <c r="J61" s="21">
        <f t="shared" si="5"/>
        <v>25393.229999999992</v>
      </c>
      <c r="K61" s="21">
        <f t="shared" si="5"/>
        <v>39141.72</v>
      </c>
      <c r="L61" s="20">
        <f t="shared" si="5"/>
        <v>729.53</v>
      </c>
      <c r="M61" s="21">
        <f t="shared" si="5"/>
        <v>1857.1200000000003</v>
      </c>
      <c r="N61" s="21">
        <f t="shared" si="5"/>
        <v>2611.9299999999998</v>
      </c>
      <c r="O61" s="20">
        <f t="shared" si="5"/>
        <v>3290.119999999999</v>
      </c>
      <c r="P61" s="21">
        <f t="shared" si="5"/>
        <v>1612.68</v>
      </c>
      <c r="Q61" s="21">
        <f t="shared" si="5"/>
        <v>21278.330000000005</v>
      </c>
      <c r="R61" s="20">
        <f t="shared" si="5"/>
        <v>95077.449999999953</v>
      </c>
      <c r="S61" s="21">
        <f t="shared" si="5"/>
        <v>235269.40999999997</v>
      </c>
    </row>
  </sheetData>
  <mergeCells count="3">
    <mergeCell ref="A3:S3"/>
    <mergeCell ref="A4:S4"/>
    <mergeCell ref="A61:B61"/>
  </mergeCells>
  <pageMargins left="0.25" right="0.25" top="0.75" bottom="0.75" header="0.3" footer="0.3"/>
  <pageSetup paperSize="9" scale="46" orientation="landscape" r:id="rId1"/>
  <headerFooter>
    <oddHeader>&amp;C&amp;G</oddHeader>
  </headerFooter>
  <ignoredErrors>
    <ignoredError sqref="S26 S38 S5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Cristina Espíndola Romor Vargas</cp:lastModifiedBy>
  <cp:lastPrinted>2018-02-05T18:44:38Z</cp:lastPrinted>
  <dcterms:created xsi:type="dcterms:W3CDTF">2015-04-01T12:17:47Z</dcterms:created>
  <dcterms:modified xsi:type="dcterms:W3CDTF">2018-04-03T18:40:36Z</dcterms:modified>
</cp:coreProperties>
</file>