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45" windowWidth="28830" windowHeight="12495"/>
  </bookViews>
  <sheets>
    <sheet name="JUNHO 2018" sheetId="26" r:id="rId1"/>
  </sheets>
  <calcPr calcId="145621"/>
</workbook>
</file>

<file path=xl/calcChain.xml><?xml version="1.0" encoding="utf-8"?>
<calcChain xmlns="http://schemas.openxmlformats.org/spreadsheetml/2006/main">
  <c r="H55" i="26" l="1"/>
  <c r="L51" i="26"/>
  <c r="O46" i="26"/>
  <c r="H46" i="26"/>
  <c r="O40" i="26"/>
  <c r="O30" i="26"/>
  <c r="L30" i="26"/>
  <c r="J30" i="26"/>
  <c r="D30" i="26"/>
  <c r="C30" i="26"/>
  <c r="O25" i="26"/>
  <c r="J25" i="26"/>
  <c r="H25" i="26"/>
  <c r="D25" i="26"/>
  <c r="H23" i="26"/>
  <c r="O59" i="26"/>
  <c r="H59" i="26"/>
  <c r="H54" i="26"/>
  <c r="H50" i="26"/>
  <c r="O44" i="26"/>
  <c r="J37" i="26"/>
  <c r="H37" i="26"/>
  <c r="D37" i="26"/>
  <c r="O35" i="26"/>
  <c r="H35" i="26"/>
  <c r="O18" i="26"/>
  <c r="H18" i="26"/>
  <c r="O14" i="26"/>
  <c r="O9" i="26"/>
  <c r="H9" i="26"/>
  <c r="O8" i="26"/>
  <c r="L8" i="26"/>
  <c r="J8" i="26"/>
  <c r="H8" i="26"/>
  <c r="D8" i="26"/>
  <c r="O62" i="26"/>
  <c r="H62" i="26"/>
  <c r="R61" i="26"/>
  <c r="J60" i="26"/>
  <c r="D60" i="26"/>
  <c r="O56" i="26"/>
  <c r="H56" i="26"/>
  <c r="D56" i="26"/>
  <c r="H53" i="26"/>
  <c r="H52" i="26"/>
  <c r="L49" i="26"/>
  <c r="K48" i="26"/>
  <c r="J48" i="26"/>
  <c r="D48" i="26"/>
  <c r="O47" i="26"/>
  <c r="J47" i="26"/>
  <c r="H47" i="26"/>
  <c r="D47" i="26"/>
  <c r="O45" i="26"/>
  <c r="K45" i="26"/>
  <c r="J45" i="26"/>
  <c r="D45" i="26" l="1"/>
  <c r="H43" i="26"/>
  <c r="O42" i="26"/>
  <c r="H42" i="26"/>
  <c r="O39" i="26"/>
  <c r="J39" i="26"/>
  <c r="H39" i="26"/>
  <c r="D39" i="26"/>
  <c r="O36" i="26"/>
  <c r="R36" i="26" s="1"/>
  <c r="H36" i="26"/>
  <c r="O34" i="26"/>
  <c r="O33" i="26"/>
  <c r="C33" i="26"/>
  <c r="R31" i="26"/>
  <c r="O29" i="26"/>
  <c r="J29" i="26"/>
  <c r="H29" i="26"/>
  <c r="D29" i="26"/>
  <c r="H28" i="26"/>
  <c r="J24" i="26"/>
  <c r="D24" i="26"/>
  <c r="K22" i="26"/>
  <c r="J22" i="26"/>
  <c r="H22" i="26"/>
  <c r="D22" i="26"/>
  <c r="J20" i="26"/>
  <c r="D20" i="26"/>
  <c r="O19" i="26"/>
  <c r="J19" i="26"/>
  <c r="D19" i="26"/>
  <c r="O17" i="26"/>
  <c r="D16" i="26"/>
  <c r="H15" i="26"/>
  <c r="O13" i="26"/>
  <c r="K13" i="26"/>
  <c r="J13" i="26"/>
  <c r="D13" i="26"/>
  <c r="C13" i="26"/>
  <c r="O12" i="26"/>
  <c r="H12" i="26"/>
  <c r="O11" i="26"/>
  <c r="J10" i="26"/>
  <c r="D10" i="26"/>
  <c r="O7" i="26"/>
  <c r="Q63" i="26" l="1"/>
  <c r="P63" i="26"/>
  <c r="N63" i="26"/>
  <c r="M63" i="26"/>
  <c r="G63" i="26"/>
  <c r="F63" i="26"/>
  <c r="E63" i="26"/>
  <c r="R62" i="26"/>
  <c r="I62" i="26"/>
  <c r="O61" i="26"/>
  <c r="I61" i="26"/>
  <c r="R60" i="26"/>
  <c r="I60" i="26"/>
  <c r="R59" i="26"/>
  <c r="I59" i="26"/>
  <c r="J58" i="26"/>
  <c r="R58" i="26" s="1"/>
  <c r="I58" i="26"/>
  <c r="R57" i="26"/>
  <c r="I57" i="26"/>
  <c r="R56" i="26"/>
  <c r="I56" i="26"/>
  <c r="R55" i="26"/>
  <c r="I55" i="26"/>
  <c r="R54" i="26"/>
  <c r="I54" i="26"/>
  <c r="R53" i="26"/>
  <c r="I53" i="26"/>
  <c r="R52" i="26"/>
  <c r="I52" i="26"/>
  <c r="O51" i="26"/>
  <c r="R51" i="26" s="1"/>
  <c r="I51" i="26"/>
  <c r="R50" i="26"/>
  <c r="I50" i="26"/>
  <c r="R49" i="26"/>
  <c r="I49" i="26"/>
  <c r="R48" i="26"/>
  <c r="I48" i="26"/>
  <c r="S48" i="26" s="1"/>
  <c r="R47" i="26"/>
  <c r="I47" i="26"/>
  <c r="R46" i="26"/>
  <c r="I46" i="26"/>
  <c r="R45" i="26"/>
  <c r="I45" i="26"/>
  <c r="R44" i="26"/>
  <c r="I44" i="26"/>
  <c r="R43" i="26"/>
  <c r="I43" i="26"/>
  <c r="R42" i="26"/>
  <c r="I42" i="26"/>
  <c r="R41" i="26"/>
  <c r="I41" i="26"/>
  <c r="R40" i="26"/>
  <c r="I40" i="26"/>
  <c r="R39" i="26"/>
  <c r="I39" i="26"/>
  <c r="R38" i="26"/>
  <c r="I38" i="26"/>
  <c r="R37" i="26"/>
  <c r="I37" i="26"/>
  <c r="L63" i="26"/>
  <c r="I36" i="26"/>
  <c r="J35" i="26"/>
  <c r="R35" i="26" s="1"/>
  <c r="I35" i="26"/>
  <c r="R34" i="26"/>
  <c r="I34" i="26"/>
  <c r="R33" i="26"/>
  <c r="I33" i="26"/>
  <c r="R32" i="26"/>
  <c r="I32" i="26"/>
  <c r="I31" i="26"/>
  <c r="R30" i="26"/>
  <c r="I30" i="26"/>
  <c r="R29" i="26"/>
  <c r="I29" i="26"/>
  <c r="R28" i="26"/>
  <c r="I28" i="26"/>
  <c r="R27" i="26"/>
  <c r="C63" i="26"/>
  <c r="R26" i="26"/>
  <c r="I26" i="26"/>
  <c r="R25" i="26"/>
  <c r="I25" i="26"/>
  <c r="S25" i="26" s="1"/>
  <c r="R24" i="26"/>
  <c r="I24" i="26"/>
  <c r="R23" i="26"/>
  <c r="I23" i="26"/>
  <c r="S23" i="26" s="1"/>
  <c r="O22" i="26"/>
  <c r="R22" i="26" s="1"/>
  <c r="I22" i="26"/>
  <c r="R21" i="26"/>
  <c r="I21" i="26"/>
  <c r="O20" i="26"/>
  <c r="R20" i="26" s="1"/>
  <c r="I20" i="26"/>
  <c r="R19" i="26"/>
  <c r="I19" i="26"/>
  <c r="R18" i="26"/>
  <c r="I18" i="26"/>
  <c r="R17" i="26"/>
  <c r="I17" i="26"/>
  <c r="R16" i="26"/>
  <c r="J16" i="26"/>
  <c r="I16" i="26"/>
  <c r="R15" i="26"/>
  <c r="I15" i="26"/>
  <c r="R14" i="26"/>
  <c r="I14" i="26"/>
  <c r="K63" i="26"/>
  <c r="R13" i="26"/>
  <c r="I13" i="26"/>
  <c r="R12" i="26"/>
  <c r="I12" i="26"/>
  <c r="R11" i="26"/>
  <c r="I11" i="26"/>
  <c r="R10" i="26"/>
  <c r="I10" i="26"/>
  <c r="R9" i="26"/>
  <c r="I9" i="26"/>
  <c r="R8" i="26"/>
  <c r="I8" i="26"/>
  <c r="J7" i="26"/>
  <c r="R7" i="26" s="1"/>
  <c r="I7" i="26"/>
  <c r="J63" i="26"/>
  <c r="I6" i="26"/>
  <c r="D63" i="26"/>
  <c r="S50" i="26" l="1"/>
  <c r="O63" i="26"/>
  <c r="S9" i="26"/>
  <c r="S18" i="26"/>
  <c r="S22" i="26"/>
  <c r="S44" i="26"/>
  <c r="S41" i="26"/>
  <c r="S38" i="26"/>
  <c r="S31" i="26"/>
  <c r="S29" i="26"/>
  <c r="S28" i="26"/>
  <c r="S26" i="26"/>
  <c r="S24" i="26"/>
  <c r="S21" i="26"/>
  <c r="S15" i="26"/>
  <c r="S12" i="26"/>
  <c r="S10" i="26"/>
  <c r="S62" i="26"/>
  <c r="S33" i="26"/>
  <c r="S52" i="26"/>
  <c r="S54" i="26"/>
  <c r="S59" i="26"/>
  <c r="S7" i="26"/>
  <c r="S8" i="26"/>
  <c r="S32" i="26"/>
  <c r="S45" i="26"/>
  <c r="S53" i="26"/>
  <c r="S55" i="26"/>
  <c r="S57" i="26"/>
  <c r="S60" i="26"/>
  <c r="S11" i="26"/>
  <c r="S30" i="26"/>
  <c r="S61" i="26"/>
  <c r="S37" i="26"/>
  <c r="S39" i="26"/>
  <c r="S40" i="26"/>
  <c r="S42" i="26"/>
  <c r="S43" i="26"/>
  <c r="S46" i="26"/>
  <c r="S49" i="26"/>
  <c r="S51" i="26"/>
  <c r="S58" i="26"/>
  <c r="S34" i="26"/>
  <c r="S20" i="26"/>
  <c r="S14" i="26"/>
  <c r="S19" i="26"/>
  <c r="S13" i="26"/>
  <c r="S16" i="26"/>
  <c r="S17" i="26"/>
  <c r="S35" i="26"/>
  <c r="S47" i="26"/>
  <c r="S56" i="26"/>
  <c r="R6" i="26"/>
  <c r="S6" i="26" s="1"/>
  <c r="I27" i="26"/>
  <c r="S27" i="26" s="1"/>
  <c r="S36" i="26"/>
  <c r="H63" i="26"/>
  <c r="R63" i="26" l="1"/>
  <c r="S63" i="26"/>
  <c r="I63" i="26"/>
</calcChain>
</file>

<file path=xl/sharedStrings.xml><?xml version="1.0" encoding="utf-8"?>
<sst xmlns="http://schemas.openxmlformats.org/spreadsheetml/2006/main" count="135" uniqueCount="105">
  <si>
    <t>Marindia Izabel Girardello</t>
  </si>
  <si>
    <t>Cheila da Silva Chagas</t>
  </si>
  <si>
    <t>Gerente Financeiro</t>
  </si>
  <si>
    <t>Carla Ribeiro de Carvalho</t>
  </si>
  <si>
    <t>Gerente Administrativo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</si>
  <si>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</si>
  <si>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</si>
  <si>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</si>
  <si>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</si>
  <si>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</si>
  <si>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</si>
  <si>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</si>
  <si>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</si>
  <si>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</si>
  <si>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</si>
  <si>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</si>
  <si>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</si>
  <si>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Gabriela Teixeira da Silva</t>
  </si>
  <si>
    <t>Carla Regina Dal Lago Valério</t>
  </si>
  <si>
    <t>Secretário Executivo</t>
  </si>
  <si>
    <t>Cassio Lorensini</t>
  </si>
  <si>
    <t>Marcele Danni Acosta</t>
  </si>
  <si>
    <t>Simone Nunes Perotto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</si>
  <si>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</si>
  <si>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</si>
  <si>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</si>
  <si>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</si>
  <si>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</si>
  <si>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</si>
  <si>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</si>
  <si>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</si>
  <si>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</si>
  <si>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Karla Ronsoni Riet</t>
  </si>
  <si>
    <t>Thiago dos Santos Albrecht</t>
  </si>
  <si>
    <t>Harim Pires Beserra</t>
  </si>
  <si>
    <t>Thaís Cristina da Luz</t>
  </si>
  <si>
    <t>Sérgio Nei Roschild Bastos</t>
  </si>
  <si>
    <t>Denise Maria da Costa Lima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</si>
  <si>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</si>
  <si>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</si>
  <si>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</si>
  <si>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</si>
  <si>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</si>
  <si>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</si>
  <si>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</si>
  <si>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</si>
  <si>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Vanessa Just Blanco</t>
  </si>
  <si>
    <t>Marcia Pedrini</t>
  </si>
  <si>
    <t>Coordenadora de TI</t>
  </si>
  <si>
    <t>Gerente Técnico</t>
  </si>
  <si>
    <t>Gabriela Belnhak Moraes</t>
  </si>
  <si>
    <t>Luis Carlos Lopes</t>
  </si>
  <si>
    <t>Supervisor de Almoxarifado e Apoio</t>
  </si>
  <si>
    <t>Luis Fernando Baldissera</t>
  </si>
  <si>
    <t>Suzana Rahde Gerchmann</t>
  </si>
  <si>
    <t>Elaine Aparecida Schaurich</t>
  </si>
  <si>
    <t>Bianca Teixeira Serafim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</si>
  <si>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</si>
  <si>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</si>
  <si>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</si>
  <si>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</si>
  <si>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</si>
  <si>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</si>
  <si>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</si>
  <si>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Gerente de Atendimento e Fiscalização</t>
  </si>
  <si>
    <t>Supervisora de Fiscalização</t>
  </si>
  <si>
    <t>Coordenadora de Atendimento, PF e PJ</t>
  </si>
  <si>
    <t>Coordenador Jurídico</t>
  </si>
  <si>
    <t>Coordenadora de Comunicação</t>
  </si>
  <si>
    <t>Supervisor de Licitações e Compras</t>
  </si>
  <si>
    <t>SALÁRIO BÁSICO</t>
  </si>
  <si>
    <t>CARGO</t>
  </si>
  <si>
    <t>FÉRIAS + 1/3</t>
  </si>
  <si>
    <t>GRATIFI-CAÇÃO</t>
  </si>
  <si>
    <t>VALE REFEIÇÃO</t>
  </si>
  <si>
    <t>VALE TRANSPORTE</t>
  </si>
  <si>
    <t>HORAS EXTRAS</t>
  </si>
  <si>
    <t>I.N.S.S.</t>
  </si>
  <si>
    <t>FALTAS</t>
  </si>
  <si>
    <t>DESC. VALE REFEIÇÃO</t>
  </si>
  <si>
    <t>DESC. VALE TRANSPORTE</t>
  </si>
  <si>
    <t>LÍQUIDO FÉRIAS</t>
  </si>
  <si>
    <t>Rosana Maria Marzenbacher</t>
  </si>
  <si>
    <t>Gerente Jurídico</t>
  </si>
  <si>
    <t>Amanda Elisa Barros Gehrke</t>
  </si>
  <si>
    <t>Cezar Eduardo Rieger</t>
  </si>
  <si>
    <t>Eduardo Meira Pilau</t>
  </si>
  <si>
    <t>I.R.R.F.</t>
  </si>
  <si>
    <t>AUXÍLIO CRECHE</t>
  </si>
  <si>
    <t>DESC. CONV. MÉDICO</t>
  </si>
  <si>
    <t xml:space="preserve">TOTAL  </t>
  </si>
  <si>
    <t>Clarissa Wolff Pierry</t>
  </si>
  <si>
    <t>Cristina Espindola Romor Vargas</t>
  </si>
  <si>
    <t>Luciano Antunes de Oliveira</t>
  </si>
  <si>
    <t>Gerente de Comunicação</t>
  </si>
  <si>
    <t>Sandra Maria de Freitas Carvalho</t>
  </si>
  <si>
    <t>Secretária Geral da Mesa</t>
  </si>
  <si>
    <t>Supervisora de Ética</t>
  </si>
  <si>
    <t>Coordenador de Planejamento</t>
  </si>
  <si>
    <t>Gelson Luiz Benatti</t>
  </si>
  <si>
    <t>Gerente de Planejamento</t>
  </si>
  <si>
    <t>Fausto Leiria Loureiro</t>
  </si>
  <si>
    <t>Chefe de Gabinete</t>
  </si>
  <si>
    <t>FOLHA DE PAGAMENTO - JUNHO 2018</t>
  </si>
  <si>
    <t>Cleci Luciano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</si>
</sst>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center"/>
    </xf>
    <xf numFmtId="44" fontId="0" fillId="2" borderId="2" xfId="0" applyNumberFormat="1" applyFont="1" applyFill="1" applyBorder="1" applyAlignment="1">
      <alignment horizontal="left"/>
    </xf>
    <xf numFmtId="44" fontId="0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44" fontId="0" fillId="2" borderId="1" xfId="1" applyFont="1" applyFill="1" applyBorder="1"/>
    <xf numFmtId="44" fontId="0" fillId="2" borderId="2" xfId="1" applyFont="1" applyFill="1" applyBorder="1"/>
    <xf numFmtId="44" fontId="0" fillId="2" borderId="2" xfId="1" applyFont="1" applyFill="1" applyBorder="1" applyAlignment="1">
      <alignment horizontal="left"/>
    </xf>
    <xf numFmtId="44" fontId="0" fillId="2" borderId="1" xfId="1" applyFont="1" applyFill="1" applyBorder="1" applyAlignment="1">
      <alignment horizontal="left"/>
    </xf>
    <xf numFmtId="44" fontId="0" fillId="2" borderId="4" xfId="0" applyNumberFormat="1" applyFont="1" applyFill="1" applyBorder="1" applyAlignment="1">
      <alignment horizontal="left"/>
    </xf>
    <xf numFmtId="164" fontId="0" fillId="2" borderId="2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center"/>
    </xf>
    <xf numFmtId="44" fontId="0" fillId="2" borderId="5" xfId="0" applyNumberFormat="1" applyFont="1" applyFill="1" applyBorder="1" applyAlignment="1">
      <alignment horizontal="left"/>
    </xf>
    <xf numFmtId="164" fontId="0" fillId="2" borderId="4" xfId="0" applyNumberFormat="1" applyFont="1" applyFill="1" applyBorder="1" applyAlignment="1">
      <alignment horizontal="right"/>
    </xf>
    <xf numFmtId="0" fontId="0" fillId="2" borderId="1" xfId="0" applyFill="1" applyBorder="1"/>
    <xf numFmtId="0" fontId="0" fillId="2" borderId="0" xfId="0" applyFill="1" applyBorder="1"/>
    <xf numFmtId="164" fontId="0" fillId="2" borderId="1" xfId="0" applyNumberFormat="1" applyFont="1" applyFill="1" applyBorder="1"/>
    <xf numFmtId="44" fontId="0" fillId="2" borderId="1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I63"/>
  <sheetViews>
    <sheetView tabSelected="1" zoomScaleNormal="100" workbookViewId="0">
      <selection activeCell="A3" sqref="A3:S3"/>
    </sheetView>
  </sheetViews>
  <sheetFormatPr defaultColWidth="73" defaultRowHeight="15" x14ac:dyDescent="0.25"/>
  <cols>
    <col min="1" max="1" width="38.5703125" style="1" bestFit="1" customWidth="1"/>
    <col min="2" max="2" width="45.5703125" style="1" bestFit="1" customWidth="1"/>
    <col min="3" max="3" width="12.7109375" style="1" bestFit="1" customWidth="1"/>
    <col min="4" max="4" width="13.28515625" style="1" customWidth="1"/>
    <col min="5" max="5" width="13.28515625" style="1" bestFit="1" customWidth="1"/>
    <col min="6" max="6" width="12.140625" style="1" bestFit="1" customWidth="1"/>
    <col min="7" max="7" width="13.140625" style="1" customWidth="1"/>
    <col min="8" max="8" width="12.140625" style="1" bestFit="1" customWidth="1"/>
    <col min="9" max="9" width="13.28515625" style="1" bestFit="1" customWidth="1"/>
    <col min="10" max="10" width="15.42578125" style="1" customWidth="1"/>
    <col min="11" max="11" width="13.28515625" style="1" bestFit="1" customWidth="1"/>
    <col min="12" max="12" width="12.140625" style="1" bestFit="1" customWidth="1"/>
    <col min="13" max="13" width="12.28515625" style="1" customWidth="1"/>
    <col min="14" max="14" width="12.5703125" style="1" customWidth="1"/>
    <col min="15" max="15" width="12.7109375" style="1" customWidth="1"/>
    <col min="16" max="16" width="12.5703125" style="1" customWidth="1"/>
    <col min="17" max="18" width="13.28515625" style="1" bestFit="1" customWidth="1"/>
    <col min="19" max="19" width="17" style="1" customWidth="1"/>
    <col min="20" max="16384" width="73" style="1"/>
  </cols>
  <sheetData>
    <row r="3" spans="1:19" ht="21" x14ac:dyDescent="0.35">
      <c r="A3" s="29" t="s">
        <v>103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35.25" customHeight="1" thickBot="1" x14ac:dyDescent="0.3">
      <c r="A5" s="2" t="s">
        <v>40</v>
      </c>
      <c r="B5" s="2" t="s">
        <v>71</v>
      </c>
      <c r="C5" s="3" t="s">
        <v>70</v>
      </c>
      <c r="D5" s="3" t="s">
        <v>72</v>
      </c>
      <c r="E5" s="3" t="s">
        <v>73</v>
      </c>
      <c r="F5" s="3" t="s">
        <v>74</v>
      </c>
      <c r="G5" s="4" t="s">
        <v>75</v>
      </c>
      <c r="H5" s="3" t="s">
        <v>76</v>
      </c>
      <c r="I5" s="3" t="s">
        <v>62</v>
      </c>
      <c r="J5" s="3" t="s">
        <v>77</v>
      </c>
      <c r="K5" s="3" t="s">
        <v>87</v>
      </c>
      <c r="L5" s="3" t="s">
        <v>78</v>
      </c>
      <c r="M5" s="3" t="s">
        <v>79</v>
      </c>
      <c r="N5" s="3" t="s">
        <v>80</v>
      </c>
      <c r="O5" s="3" t="s">
        <v>89</v>
      </c>
      <c r="P5" s="3" t="s">
        <v>88</v>
      </c>
      <c r="Q5" s="3" t="s">
        <v>81</v>
      </c>
      <c r="R5" s="3" t="s">
        <v>41</v>
      </c>
      <c r="S5" s="3" t="s">
        <v>42</v>
      </c>
    </row>
    <row r="6" spans="1:19" x14ac:dyDescent="0.25">
      <c r="A6" s="5" t="s">
        <v>28</v>
      </c>
      <c r="B6" s="6" t="s">
        <v>29</v>
      </c>
      <c r="C6" s="7">
        <v>2383.35</v>
      </c>
      <c r="D6" s="8">
        <v>0</v>
      </c>
      <c r="E6" s="8">
        <v>0</v>
      </c>
      <c r="F6" s="8">
        <v>668.43</v>
      </c>
      <c r="G6" s="8">
        <v>86</v>
      </c>
      <c r="H6" s="8">
        <v>0</v>
      </c>
      <c r="I6" s="18">
        <f>C6+D6+E6+H6</f>
        <v>2383.35</v>
      </c>
      <c r="J6" s="8">
        <v>214.5</v>
      </c>
      <c r="K6" s="8">
        <v>19.86</v>
      </c>
      <c r="L6" s="8">
        <v>0</v>
      </c>
      <c r="M6" s="8">
        <v>33.39</v>
      </c>
      <c r="N6" s="8">
        <v>86</v>
      </c>
      <c r="O6" s="8">
        <v>28</v>
      </c>
      <c r="P6" s="8">
        <v>0</v>
      </c>
      <c r="Q6" s="8">
        <v>0</v>
      </c>
      <c r="R6" s="9">
        <f>J6+K6+L6+M6+N6+O6+Q6</f>
        <v>381.75</v>
      </c>
      <c r="S6" s="9">
        <f>I6-R6</f>
        <v>2001.6</v>
      </c>
    </row>
    <row r="7" spans="1:19" x14ac:dyDescent="0.25">
      <c r="A7" s="10" t="s">
        <v>6</v>
      </c>
      <c r="B7" s="11" t="s">
        <v>83</v>
      </c>
      <c r="C7" s="7">
        <v>5467.66</v>
      </c>
      <c r="D7" s="8">
        <v>0</v>
      </c>
      <c r="E7" s="9">
        <v>5928.03</v>
      </c>
      <c r="F7" s="8">
        <v>668.43</v>
      </c>
      <c r="G7" s="8">
        <v>0</v>
      </c>
      <c r="H7" s="8">
        <v>0</v>
      </c>
      <c r="I7" s="18">
        <f t="shared" ref="I7:I62" si="0">C7+D7+E7+H7</f>
        <v>11395.689999999999</v>
      </c>
      <c r="J7" s="8">
        <f>31.94+589.09</f>
        <v>621.03000000000009</v>
      </c>
      <c r="K7" s="8">
        <v>2093.67</v>
      </c>
      <c r="L7" s="8">
        <v>0</v>
      </c>
      <c r="M7" s="8">
        <v>33.39</v>
      </c>
      <c r="N7" s="8">
        <v>0</v>
      </c>
      <c r="O7" s="8">
        <f>37.04+291.75</f>
        <v>328.79</v>
      </c>
      <c r="P7" s="8">
        <v>0</v>
      </c>
      <c r="Q7" s="8">
        <v>0</v>
      </c>
      <c r="R7" s="9">
        <f t="shared" ref="R7:R62" si="1">J7+K7+L7+M7+N7+O7+Q7</f>
        <v>3076.88</v>
      </c>
      <c r="S7" s="9">
        <f>I7-R7</f>
        <v>8318.8099999999977</v>
      </c>
    </row>
    <row r="8" spans="1:19" x14ac:dyDescent="0.25">
      <c r="A8" s="10" t="s">
        <v>84</v>
      </c>
      <c r="B8" s="11" t="s">
        <v>13</v>
      </c>
      <c r="C8" s="7">
        <v>6843.6</v>
      </c>
      <c r="D8" s="8">
        <f>1368.55+467.63+8.93+20.8+0.05+4.57</f>
        <v>1870.5299999999997</v>
      </c>
      <c r="E8" s="8">
        <v>0</v>
      </c>
      <c r="F8" s="8">
        <v>509.28</v>
      </c>
      <c r="G8" s="8">
        <v>0</v>
      </c>
      <c r="H8" s="8">
        <f>1.64+0.25</f>
        <v>1.89</v>
      </c>
      <c r="I8" s="18">
        <f t="shared" si="0"/>
        <v>8716.02</v>
      </c>
      <c r="J8" s="8">
        <f>452.69+168.34</f>
        <v>621.03</v>
      </c>
      <c r="K8" s="8">
        <v>802.39</v>
      </c>
      <c r="L8" s="8">
        <f>273.88+39.83</f>
        <v>313.70999999999998</v>
      </c>
      <c r="M8" s="8">
        <v>25.44</v>
      </c>
      <c r="N8" s="8">
        <v>0</v>
      </c>
      <c r="O8" s="8">
        <f>32.21</f>
        <v>32.21</v>
      </c>
      <c r="P8" s="8">
        <v>0</v>
      </c>
      <c r="Q8" s="8">
        <v>1702.19</v>
      </c>
      <c r="R8" s="9">
        <f t="shared" si="1"/>
        <v>3496.9700000000003</v>
      </c>
      <c r="S8" s="9">
        <f>I8-R8</f>
        <v>5219.05</v>
      </c>
    </row>
    <row r="9" spans="1:19" x14ac:dyDescent="0.25">
      <c r="A9" s="10" t="s">
        <v>12</v>
      </c>
      <c r="B9" s="11" t="s">
        <v>13</v>
      </c>
      <c r="C9" s="7">
        <v>8627.67</v>
      </c>
      <c r="D9" s="8">
        <v>0</v>
      </c>
      <c r="E9" s="8">
        <v>0</v>
      </c>
      <c r="F9" s="8">
        <v>572.94000000000005</v>
      </c>
      <c r="G9" s="8">
        <v>0</v>
      </c>
      <c r="H9" s="8">
        <f>30.2+95.77+19.38</f>
        <v>145.35</v>
      </c>
      <c r="I9" s="18">
        <f t="shared" si="0"/>
        <v>8773.02</v>
      </c>
      <c r="J9" s="8">
        <v>621.03</v>
      </c>
      <c r="K9" s="8">
        <v>1372.44</v>
      </c>
      <c r="L9" s="8">
        <v>0</v>
      </c>
      <c r="M9" s="8">
        <v>28.62</v>
      </c>
      <c r="N9" s="8">
        <v>0</v>
      </c>
      <c r="O9" s="8">
        <f>28+39.65</f>
        <v>67.650000000000006</v>
      </c>
      <c r="P9" s="8">
        <v>0</v>
      </c>
      <c r="Q9" s="8">
        <v>0</v>
      </c>
      <c r="R9" s="9">
        <f t="shared" si="1"/>
        <v>2089.7399999999998</v>
      </c>
      <c r="S9" s="9">
        <f>I9-R9</f>
        <v>6683.2800000000007</v>
      </c>
    </row>
    <row r="10" spans="1:19" x14ac:dyDescent="0.25">
      <c r="A10" s="10" t="s">
        <v>56</v>
      </c>
      <c r="B10" s="11" t="s">
        <v>11</v>
      </c>
      <c r="C10" s="7">
        <v>1890.5</v>
      </c>
      <c r="D10" s="8">
        <f>378.05+209.31+249.9</f>
        <v>837.26</v>
      </c>
      <c r="E10" s="9">
        <v>0</v>
      </c>
      <c r="F10" s="8">
        <v>668.43</v>
      </c>
      <c r="G10" s="8">
        <v>376</v>
      </c>
      <c r="H10" s="8">
        <v>0</v>
      </c>
      <c r="I10" s="18">
        <f t="shared" si="0"/>
        <v>2727.76</v>
      </c>
      <c r="J10" s="8">
        <f>178.51+66.98</f>
        <v>245.49</v>
      </c>
      <c r="K10" s="8">
        <v>0</v>
      </c>
      <c r="L10" s="8">
        <v>0</v>
      </c>
      <c r="M10" s="8">
        <v>33.39</v>
      </c>
      <c r="N10" s="8">
        <v>113.43</v>
      </c>
      <c r="O10" s="8">
        <v>24.35</v>
      </c>
      <c r="P10" s="8">
        <v>0</v>
      </c>
      <c r="Q10" s="8">
        <v>770.28</v>
      </c>
      <c r="R10" s="9">
        <f t="shared" si="1"/>
        <v>1186.94</v>
      </c>
      <c r="S10" s="9">
        <f>I10-R10</f>
        <v>1540.8200000000002</v>
      </c>
    </row>
    <row r="11" spans="1:19" x14ac:dyDescent="0.25">
      <c r="A11" s="10" t="s">
        <v>25</v>
      </c>
      <c r="B11" s="11" t="s">
        <v>16</v>
      </c>
      <c r="C11" s="7">
        <v>5467.66</v>
      </c>
      <c r="D11" s="8">
        <v>0</v>
      </c>
      <c r="E11" s="9">
        <v>0</v>
      </c>
      <c r="F11" s="8">
        <v>668.43</v>
      </c>
      <c r="G11" s="8">
        <v>0</v>
      </c>
      <c r="H11" s="8">
        <v>0</v>
      </c>
      <c r="I11" s="18">
        <f t="shared" si="0"/>
        <v>5467.66</v>
      </c>
      <c r="J11" s="8">
        <v>597.77</v>
      </c>
      <c r="K11" s="8">
        <v>460.69</v>
      </c>
      <c r="L11" s="8">
        <v>33.35</v>
      </c>
      <c r="M11" s="8">
        <v>33.39</v>
      </c>
      <c r="N11" s="8">
        <v>0</v>
      </c>
      <c r="O11" s="8">
        <f>37.04</f>
        <v>37.04</v>
      </c>
      <c r="P11" s="8">
        <v>0</v>
      </c>
      <c r="Q11" s="8">
        <v>0</v>
      </c>
      <c r="R11" s="9">
        <f t="shared" si="1"/>
        <v>1162.24</v>
      </c>
      <c r="S11" s="9">
        <f t="shared" ref="S11:S23" si="2">I11-R11</f>
        <v>4305.42</v>
      </c>
    </row>
    <row r="12" spans="1:19" x14ac:dyDescent="0.25">
      <c r="A12" s="10" t="s">
        <v>18</v>
      </c>
      <c r="B12" s="11" t="s">
        <v>19</v>
      </c>
      <c r="C12" s="7">
        <v>5467.66</v>
      </c>
      <c r="D12" s="8">
        <v>0</v>
      </c>
      <c r="E12" s="9">
        <v>0</v>
      </c>
      <c r="F12" s="8">
        <v>668.43</v>
      </c>
      <c r="G12" s="8">
        <v>0</v>
      </c>
      <c r="H12" s="8">
        <f>26.65+4.1</f>
        <v>30.75</v>
      </c>
      <c r="I12" s="18">
        <f t="shared" si="0"/>
        <v>5498.41</v>
      </c>
      <c r="J12" s="8">
        <v>604.82000000000005</v>
      </c>
      <c r="K12" s="8">
        <v>476.38</v>
      </c>
      <c r="L12" s="8">
        <v>0</v>
      </c>
      <c r="M12" s="8">
        <v>33.39</v>
      </c>
      <c r="N12" s="8">
        <v>0</v>
      </c>
      <c r="O12" s="8">
        <f>37.04+39.65</f>
        <v>76.69</v>
      </c>
      <c r="P12" s="8">
        <v>0</v>
      </c>
      <c r="Q12" s="8">
        <v>0</v>
      </c>
      <c r="R12" s="9">
        <f t="shared" si="1"/>
        <v>1191.2800000000002</v>
      </c>
      <c r="S12" s="9">
        <f t="shared" si="2"/>
        <v>4307.1299999999992</v>
      </c>
    </row>
    <row r="13" spans="1:19" x14ac:dyDescent="0.25">
      <c r="A13" s="10" t="s">
        <v>3</v>
      </c>
      <c r="B13" s="11" t="s">
        <v>4</v>
      </c>
      <c r="C13" s="7">
        <f>380.05+5697.85</f>
        <v>6077.9000000000005</v>
      </c>
      <c r="D13" s="8">
        <f>5317.94+1772.65</f>
        <v>7090.59</v>
      </c>
      <c r="E13" s="9">
        <v>0</v>
      </c>
      <c r="F13" s="8">
        <v>668.43</v>
      </c>
      <c r="G13" s="8">
        <v>0</v>
      </c>
      <c r="H13" s="8">
        <v>0</v>
      </c>
      <c r="I13" s="18">
        <f t="shared" si="0"/>
        <v>13168.490000000002</v>
      </c>
      <c r="J13" s="8">
        <f>298.1+322.93</f>
        <v>621.03</v>
      </c>
      <c r="K13" s="8">
        <f>720.09+2441.94</f>
        <v>3162.03</v>
      </c>
      <c r="L13" s="8">
        <v>0</v>
      </c>
      <c r="M13" s="8">
        <v>33.39</v>
      </c>
      <c r="N13" s="8">
        <v>0</v>
      </c>
      <c r="O13" s="8">
        <f>51.99+39.65</f>
        <v>91.64</v>
      </c>
      <c r="P13" s="8">
        <v>0</v>
      </c>
      <c r="Q13" s="8">
        <v>3819.44</v>
      </c>
      <c r="R13" s="9">
        <f t="shared" si="1"/>
        <v>7727.5300000000007</v>
      </c>
      <c r="S13" s="9">
        <f t="shared" si="2"/>
        <v>5440.9600000000009</v>
      </c>
    </row>
    <row r="14" spans="1:19" x14ac:dyDescent="0.25">
      <c r="A14" s="10" t="s">
        <v>20</v>
      </c>
      <c r="B14" s="11" t="s">
        <v>13</v>
      </c>
      <c r="C14" s="7">
        <v>8627.67</v>
      </c>
      <c r="D14" s="8">
        <v>0</v>
      </c>
      <c r="E14" s="9">
        <v>0</v>
      </c>
      <c r="F14" s="8">
        <v>668.43</v>
      </c>
      <c r="G14" s="8">
        <v>0</v>
      </c>
      <c r="H14" s="8">
        <v>0</v>
      </c>
      <c r="I14" s="18">
        <f t="shared" si="0"/>
        <v>8627.67</v>
      </c>
      <c r="J14" s="8">
        <v>621.03</v>
      </c>
      <c r="K14" s="8">
        <v>1330.45</v>
      </c>
      <c r="L14" s="8">
        <v>7.33</v>
      </c>
      <c r="M14" s="8">
        <v>33.39</v>
      </c>
      <c r="N14" s="8">
        <v>0</v>
      </c>
      <c r="O14" s="8">
        <f>37.04+39.65</f>
        <v>76.69</v>
      </c>
      <c r="P14" s="8">
        <v>0</v>
      </c>
      <c r="Q14" s="8">
        <v>0</v>
      </c>
      <c r="R14" s="9">
        <f t="shared" si="1"/>
        <v>2068.89</v>
      </c>
      <c r="S14" s="9">
        <f t="shared" si="2"/>
        <v>6558.7800000000007</v>
      </c>
    </row>
    <row r="15" spans="1:19" x14ac:dyDescent="0.25">
      <c r="A15" s="10" t="s">
        <v>85</v>
      </c>
      <c r="B15" s="11" t="s">
        <v>67</v>
      </c>
      <c r="C15" s="7">
        <v>7197.28</v>
      </c>
      <c r="D15" s="8">
        <v>0</v>
      </c>
      <c r="E15" s="9">
        <v>0</v>
      </c>
      <c r="F15" s="8">
        <v>668.43</v>
      </c>
      <c r="G15" s="8">
        <v>0</v>
      </c>
      <c r="H15" s="8">
        <f>310.92+680.81+152.57</f>
        <v>1144.3</v>
      </c>
      <c r="I15" s="18">
        <f t="shared" si="0"/>
        <v>8341.58</v>
      </c>
      <c r="J15" s="8">
        <v>621.03</v>
      </c>
      <c r="K15" s="8">
        <v>1253.79</v>
      </c>
      <c r="L15" s="8">
        <v>0</v>
      </c>
      <c r="M15" s="8">
        <v>33.39</v>
      </c>
      <c r="N15" s="8">
        <v>0</v>
      </c>
      <c r="O15" s="8">
        <v>67.599999999999994</v>
      </c>
      <c r="P15" s="8">
        <v>0</v>
      </c>
      <c r="Q15" s="8">
        <v>0</v>
      </c>
      <c r="R15" s="9">
        <f t="shared" si="1"/>
        <v>1975.81</v>
      </c>
      <c r="S15" s="9">
        <f t="shared" si="2"/>
        <v>6365.77</v>
      </c>
    </row>
    <row r="16" spans="1:19" x14ac:dyDescent="0.25">
      <c r="A16" s="10" t="s">
        <v>1</v>
      </c>
      <c r="B16" s="11" t="s">
        <v>2</v>
      </c>
      <c r="C16" s="7">
        <v>10636.17</v>
      </c>
      <c r="D16" s="8">
        <f>759.64+253.21</f>
        <v>1012.85</v>
      </c>
      <c r="E16" s="9">
        <v>0</v>
      </c>
      <c r="F16" s="8">
        <v>668.43</v>
      </c>
      <c r="G16" s="8">
        <v>0</v>
      </c>
      <c r="H16" s="8">
        <v>0</v>
      </c>
      <c r="I16" s="18">
        <f t="shared" si="0"/>
        <v>11649.02</v>
      </c>
      <c r="J16" s="8">
        <f>484.3+136.73</f>
        <v>621.03</v>
      </c>
      <c r="K16" s="8">
        <v>1909.87</v>
      </c>
      <c r="L16" s="8">
        <v>0</v>
      </c>
      <c r="M16" s="8">
        <v>33.39</v>
      </c>
      <c r="N16" s="8">
        <v>0</v>
      </c>
      <c r="O16" s="8">
        <v>37.04</v>
      </c>
      <c r="P16" s="8">
        <v>0</v>
      </c>
      <c r="Q16" s="8">
        <v>921.69</v>
      </c>
      <c r="R16" s="9">
        <f t="shared" si="1"/>
        <v>3523.0199999999995</v>
      </c>
      <c r="S16" s="9">
        <f t="shared" si="2"/>
        <v>8126.0000000000009</v>
      </c>
    </row>
    <row r="17" spans="1:20" x14ac:dyDescent="0.25">
      <c r="A17" s="10" t="s">
        <v>15</v>
      </c>
      <c r="B17" s="11" t="s">
        <v>16</v>
      </c>
      <c r="C17" s="7">
        <v>5508.62</v>
      </c>
      <c r="D17" s="8">
        <v>0</v>
      </c>
      <c r="E17" s="9">
        <v>0</v>
      </c>
      <c r="F17" s="8">
        <v>668.43</v>
      </c>
      <c r="G17" s="8">
        <v>0</v>
      </c>
      <c r="H17" s="8">
        <v>0</v>
      </c>
      <c r="I17" s="18">
        <f t="shared" si="0"/>
        <v>5508.62</v>
      </c>
      <c r="J17" s="8">
        <v>605.94000000000005</v>
      </c>
      <c r="K17" s="8">
        <v>426.74</v>
      </c>
      <c r="L17" s="8">
        <v>0</v>
      </c>
      <c r="M17" s="8">
        <v>33.39</v>
      </c>
      <c r="N17" s="13">
        <v>0</v>
      </c>
      <c r="O17" s="14">
        <f>32.21+39.65</f>
        <v>71.86</v>
      </c>
      <c r="P17" s="14">
        <v>0</v>
      </c>
      <c r="Q17" s="8">
        <v>0</v>
      </c>
      <c r="R17" s="9">
        <f t="shared" si="1"/>
        <v>1137.93</v>
      </c>
      <c r="S17" s="9">
        <f t="shared" si="2"/>
        <v>4370.6899999999996</v>
      </c>
    </row>
    <row r="18" spans="1:20" x14ac:dyDescent="0.25">
      <c r="A18" s="10" t="s">
        <v>91</v>
      </c>
      <c r="B18" s="11" t="s">
        <v>13</v>
      </c>
      <c r="C18" s="7">
        <v>8212.15</v>
      </c>
      <c r="D18" s="8">
        <v>0</v>
      </c>
      <c r="E18" s="9">
        <v>0</v>
      </c>
      <c r="F18" s="8">
        <v>413.79</v>
      </c>
      <c r="G18" s="8">
        <v>0</v>
      </c>
      <c r="H18" s="8">
        <f>311.04+47.85</f>
        <v>358.89000000000004</v>
      </c>
      <c r="I18" s="18">
        <f t="shared" si="0"/>
        <v>8571.0399999999991</v>
      </c>
      <c r="J18" s="8">
        <v>621.03</v>
      </c>
      <c r="K18" s="8">
        <v>1316.89</v>
      </c>
      <c r="L18" s="8">
        <v>0</v>
      </c>
      <c r="M18" s="8">
        <v>20.67</v>
      </c>
      <c r="N18" s="13">
        <v>0</v>
      </c>
      <c r="O18" s="14">
        <f>32.21+130.86</f>
        <v>163.07000000000002</v>
      </c>
      <c r="P18" s="14">
        <v>0</v>
      </c>
      <c r="Q18" s="8">
        <v>0</v>
      </c>
      <c r="R18" s="9">
        <f t="shared" si="1"/>
        <v>2121.6600000000003</v>
      </c>
      <c r="S18" s="9">
        <f t="shared" si="2"/>
        <v>6449.3799999999992</v>
      </c>
      <c r="T18" s="26"/>
    </row>
    <row r="19" spans="1:20" x14ac:dyDescent="0.25">
      <c r="A19" s="10" t="s">
        <v>30</v>
      </c>
      <c r="B19" s="11" t="s">
        <v>19</v>
      </c>
      <c r="C19" s="7">
        <v>4556.47</v>
      </c>
      <c r="D19" s="8">
        <f>911.19+308.08+5.47+5.59+0.3+1.7</f>
        <v>1232.33</v>
      </c>
      <c r="E19" s="9">
        <v>0</v>
      </c>
      <c r="F19" s="8">
        <v>668.43</v>
      </c>
      <c r="G19" s="8">
        <v>304</v>
      </c>
      <c r="H19" s="8">
        <v>0</v>
      </c>
      <c r="I19" s="18">
        <f t="shared" si="0"/>
        <v>5788.8</v>
      </c>
      <c r="J19" s="8">
        <f>522.45+98.58</f>
        <v>621.03000000000009</v>
      </c>
      <c r="K19" s="8">
        <v>228.62</v>
      </c>
      <c r="L19" s="8">
        <v>1.0900000000000001</v>
      </c>
      <c r="M19" s="8">
        <v>33.39</v>
      </c>
      <c r="N19" s="9">
        <v>273.39</v>
      </c>
      <c r="O19" s="15">
        <f>32.21</f>
        <v>32.21</v>
      </c>
      <c r="P19" s="8">
        <v>0</v>
      </c>
      <c r="Q19" s="8">
        <v>1133.75</v>
      </c>
      <c r="R19" s="9">
        <f t="shared" si="1"/>
        <v>2323.48</v>
      </c>
      <c r="S19" s="9">
        <f t="shared" si="2"/>
        <v>3465.32</v>
      </c>
      <c r="T19" s="26"/>
    </row>
    <row r="20" spans="1:20" x14ac:dyDescent="0.25">
      <c r="A20" s="10" t="s">
        <v>104</v>
      </c>
      <c r="B20" s="11" t="s">
        <v>11</v>
      </c>
      <c r="C20" s="7">
        <v>1890.5</v>
      </c>
      <c r="D20" s="8">
        <f>378.05+126.01</f>
        <v>504.06</v>
      </c>
      <c r="E20" s="9">
        <v>0</v>
      </c>
      <c r="F20" s="8">
        <v>668.43</v>
      </c>
      <c r="G20" s="8">
        <v>172</v>
      </c>
      <c r="H20" s="8">
        <v>0</v>
      </c>
      <c r="I20" s="18">
        <f t="shared" si="0"/>
        <v>2394.56</v>
      </c>
      <c r="J20" s="8">
        <f>175.19+40.32</f>
        <v>215.51</v>
      </c>
      <c r="K20" s="8">
        <v>0</v>
      </c>
      <c r="L20" s="8">
        <v>0</v>
      </c>
      <c r="M20" s="8">
        <v>33.39</v>
      </c>
      <c r="N20" s="8">
        <v>113.43</v>
      </c>
      <c r="O20" s="15">
        <f>67.6+39.65</f>
        <v>107.25</v>
      </c>
      <c r="P20" s="8">
        <v>0</v>
      </c>
      <c r="Q20" s="8">
        <v>463.74</v>
      </c>
      <c r="R20" s="9">
        <f t="shared" si="1"/>
        <v>933.31999999999994</v>
      </c>
      <c r="S20" s="9">
        <f t="shared" si="2"/>
        <v>1461.24</v>
      </c>
      <c r="T20" s="26"/>
    </row>
    <row r="21" spans="1:20" x14ac:dyDescent="0.25">
      <c r="A21" s="10" t="s">
        <v>92</v>
      </c>
      <c r="B21" s="11" t="s">
        <v>16</v>
      </c>
      <c r="C21" s="7">
        <v>4681.13</v>
      </c>
      <c r="D21" s="8">
        <v>0</v>
      </c>
      <c r="E21" s="9">
        <v>1139.58</v>
      </c>
      <c r="F21" s="8">
        <v>668.43</v>
      </c>
      <c r="G21" s="8">
        <v>120.4</v>
      </c>
      <c r="H21" s="8">
        <v>0</v>
      </c>
      <c r="I21" s="18">
        <f t="shared" si="0"/>
        <v>5820.71</v>
      </c>
      <c r="J21" s="8">
        <v>621.03</v>
      </c>
      <c r="K21" s="8">
        <v>556.54999999999995</v>
      </c>
      <c r="L21" s="8">
        <v>14.56</v>
      </c>
      <c r="M21" s="8">
        <v>33.39</v>
      </c>
      <c r="N21" s="8">
        <v>120.4</v>
      </c>
      <c r="O21" s="15">
        <v>51.99</v>
      </c>
      <c r="P21" s="8">
        <v>0</v>
      </c>
      <c r="Q21" s="8">
        <v>0</v>
      </c>
      <c r="R21" s="9">
        <f t="shared" si="1"/>
        <v>1397.92</v>
      </c>
      <c r="S21" s="9">
        <f t="shared" si="2"/>
        <v>4422.79</v>
      </c>
      <c r="T21" s="26"/>
    </row>
    <row r="22" spans="1:20" x14ac:dyDescent="0.25">
      <c r="A22" s="10" t="s">
        <v>37</v>
      </c>
      <c r="B22" s="11" t="s">
        <v>19</v>
      </c>
      <c r="C22" s="7">
        <v>3538.85</v>
      </c>
      <c r="D22" s="8">
        <f>1769.56+597.41+14.6+5+0.07+3.01</f>
        <v>2389.65</v>
      </c>
      <c r="E22" s="9">
        <v>0</v>
      </c>
      <c r="F22" s="8">
        <v>668.43</v>
      </c>
      <c r="G22" s="8">
        <v>0</v>
      </c>
      <c r="H22" s="8">
        <f>17.52+111.47+19.84</f>
        <v>148.83000000000001</v>
      </c>
      <c r="I22" s="18">
        <f t="shared" si="0"/>
        <v>6077.33</v>
      </c>
      <c r="J22" s="8">
        <f>405.97+215.06</f>
        <v>621.03</v>
      </c>
      <c r="K22" s="8">
        <f>137.46+20.29</f>
        <v>157.75</v>
      </c>
      <c r="L22" s="8">
        <v>0</v>
      </c>
      <c r="M22" s="8">
        <v>33.39</v>
      </c>
      <c r="N22" s="8">
        <v>0</v>
      </c>
      <c r="O22" s="15">
        <f>67.6</f>
        <v>67.599999999999994</v>
      </c>
      <c r="P22" s="8">
        <v>0</v>
      </c>
      <c r="Q22" s="8">
        <v>2154.3000000000002</v>
      </c>
      <c r="R22" s="9">
        <f t="shared" si="1"/>
        <v>3034.07</v>
      </c>
      <c r="S22" s="9">
        <f t="shared" si="2"/>
        <v>3043.2599999999998</v>
      </c>
      <c r="T22" s="26"/>
    </row>
    <row r="23" spans="1:20" x14ac:dyDescent="0.25">
      <c r="A23" s="10" t="s">
        <v>86</v>
      </c>
      <c r="B23" s="11" t="s">
        <v>11</v>
      </c>
      <c r="C23" s="7">
        <v>2268.5500000000002</v>
      </c>
      <c r="D23" s="8">
        <v>0</v>
      </c>
      <c r="E23" s="9">
        <v>0</v>
      </c>
      <c r="F23" s="8">
        <v>668.43</v>
      </c>
      <c r="G23" s="8">
        <v>0</v>
      </c>
      <c r="H23" s="8">
        <f>8.34+1.28</f>
        <v>9.6199999999999992</v>
      </c>
      <c r="I23" s="18">
        <f t="shared" si="0"/>
        <v>2278.17</v>
      </c>
      <c r="J23" s="8">
        <v>205.03</v>
      </c>
      <c r="K23" s="8">
        <v>12.69</v>
      </c>
      <c r="L23" s="8">
        <v>0</v>
      </c>
      <c r="M23" s="8">
        <v>33.39</v>
      </c>
      <c r="N23" s="8">
        <v>0</v>
      </c>
      <c r="O23" s="15">
        <v>37.04</v>
      </c>
      <c r="P23" s="8">
        <v>0</v>
      </c>
      <c r="Q23" s="8">
        <v>0</v>
      </c>
      <c r="R23" s="9">
        <f t="shared" si="1"/>
        <v>288.15000000000003</v>
      </c>
      <c r="S23" s="9">
        <f t="shared" si="2"/>
        <v>1990.02</v>
      </c>
      <c r="T23" s="26"/>
    </row>
    <row r="24" spans="1:20" x14ac:dyDescent="0.25">
      <c r="A24" s="10" t="s">
        <v>43</v>
      </c>
      <c r="B24" s="11" t="s">
        <v>11</v>
      </c>
      <c r="C24" s="7">
        <v>1134.28</v>
      </c>
      <c r="D24" s="8">
        <f>1134.28+380.45+2.04+4.09+0.95</f>
        <v>1521.81</v>
      </c>
      <c r="E24" s="9">
        <v>0</v>
      </c>
      <c r="F24" s="8">
        <v>668.43</v>
      </c>
      <c r="G24" s="8">
        <v>570</v>
      </c>
      <c r="H24" s="8">
        <v>0</v>
      </c>
      <c r="I24" s="18">
        <f t="shared" si="0"/>
        <v>2656.09</v>
      </c>
      <c r="J24" s="8">
        <f>117.28+121.74</f>
        <v>239.01999999999998</v>
      </c>
      <c r="K24" s="8">
        <v>0</v>
      </c>
      <c r="L24" s="8">
        <v>0.23</v>
      </c>
      <c r="M24" s="8">
        <v>33.39</v>
      </c>
      <c r="N24" s="8">
        <v>68.06</v>
      </c>
      <c r="O24" s="15">
        <v>0</v>
      </c>
      <c r="P24" s="8">
        <v>0</v>
      </c>
      <c r="Q24" s="8">
        <v>1400.07</v>
      </c>
      <c r="R24" s="9">
        <f t="shared" si="1"/>
        <v>1740.77</v>
      </c>
      <c r="S24" s="9">
        <f>I24-R24</f>
        <v>915.32000000000016</v>
      </c>
      <c r="T24" s="26"/>
    </row>
    <row r="25" spans="1:20" x14ac:dyDescent="0.25">
      <c r="A25" s="10" t="s">
        <v>55</v>
      </c>
      <c r="B25" s="11" t="s">
        <v>11</v>
      </c>
      <c r="C25" s="7">
        <v>1512.33</v>
      </c>
      <c r="D25" s="8">
        <f>756.22+457.04+8.45+4.66+2.02+599.77</f>
        <v>1828.16</v>
      </c>
      <c r="E25" s="9">
        <v>0</v>
      </c>
      <c r="F25" s="8">
        <v>668.43</v>
      </c>
      <c r="G25" s="8">
        <v>146.19999999999999</v>
      </c>
      <c r="H25" s="8">
        <f>17.52+2.7</f>
        <v>20.22</v>
      </c>
      <c r="I25" s="18">
        <f t="shared" si="0"/>
        <v>3360.7099999999996</v>
      </c>
      <c r="J25" s="8">
        <f>205.14+164.53</f>
        <v>369.66999999999996</v>
      </c>
      <c r="K25" s="8">
        <v>0</v>
      </c>
      <c r="L25" s="8">
        <v>0</v>
      </c>
      <c r="M25" s="8">
        <v>33.39</v>
      </c>
      <c r="N25" s="8">
        <v>90.74</v>
      </c>
      <c r="O25" s="15">
        <f>32.21+49.57</f>
        <v>81.78</v>
      </c>
      <c r="P25" s="8">
        <v>0</v>
      </c>
      <c r="Q25" s="8">
        <v>1663.63</v>
      </c>
      <c r="R25" s="9">
        <f t="shared" si="1"/>
        <v>2239.21</v>
      </c>
      <c r="S25" s="9">
        <f>I25-R25</f>
        <v>1121.4999999999995</v>
      </c>
      <c r="T25" s="26"/>
    </row>
    <row r="26" spans="1:20" x14ac:dyDescent="0.25">
      <c r="A26" s="10" t="s">
        <v>57</v>
      </c>
      <c r="B26" s="11" t="s">
        <v>11</v>
      </c>
      <c r="C26" s="7">
        <v>2268.5500000000002</v>
      </c>
      <c r="D26" s="8">
        <v>0</v>
      </c>
      <c r="E26" s="9">
        <v>0</v>
      </c>
      <c r="F26" s="8">
        <v>668.43</v>
      </c>
      <c r="G26" s="8">
        <v>0</v>
      </c>
      <c r="H26" s="8">
        <v>0</v>
      </c>
      <c r="I26" s="18">
        <f t="shared" si="0"/>
        <v>2268.5500000000002</v>
      </c>
      <c r="J26" s="8">
        <v>204.15</v>
      </c>
      <c r="K26" s="8">
        <v>12.02</v>
      </c>
      <c r="L26" s="8">
        <v>0.11</v>
      </c>
      <c r="M26" s="8">
        <v>33.39</v>
      </c>
      <c r="N26" s="8">
        <v>0</v>
      </c>
      <c r="O26" s="8">
        <v>32.21</v>
      </c>
      <c r="P26" s="8">
        <v>403.17</v>
      </c>
      <c r="Q26" s="8">
        <v>0</v>
      </c>
      <c r="R26" s="9">
        <f t="shared" si="1"/>
        <v>281.88</v>
      </c>
      <c r="S26" s="19">
        <f>((I26-R26)+P26)</f>
        <v>2389.84</v>
      </c>
      <c r="T26" s="26"/>
    </row>
    <row r="27" spans="1:20" x14ac:dyDescent="0.25">
      <c r="A27" s="10" t="s">
        <v>101</v>
      </c>
      <c r="B27" s="11" t="s">
        <v>102</v>
      </c>
      <c r="C27" s="7">
        <v>14500</v>
      </c>
      <c r="D27" s="8">
        <v>0</v>
      </c>
      <c r="E27" s="9">
        <v>0</v>
      </c>
      <c r="F27" s="8">
        <v>1082.22</v>
      </c>
      <c r="G27" s="8">
        <v>0</v>
      </c>
      <c r="H27" s="8">
        <v>0</v>
      </c>
      <c r="I27" s="18">
        <f t="shared" si="0"/>
        <v>14500</v>
      </c>
      <c r="J27" s="8">
        <v>621.03</v>
      </c>
      <c r="K27" s="8">
        <v>2947.36</v>
      </c>
      <c r="L27" s="8">
        <v>0</v>
      </c>
      <c r="M27" s="8">
        <v>54.06</v>
      </c>
      <c r="N27" s="8">
        <v>0</v>
      </c>
      <c r="O27" s="8">
        <v>0</v>
      </c>
      <c r="P27" s="8">
        <v>0</v>
      </c>
      <c r="Q27" s="8">
        <v>0</v>
      </c>
      <c r="R27" s="9">
        <f t="shared" si="1"/>
        <v>3622.4500000000003</v>
      </c>
      <c r="S27" s="19">
        <f>((I27-R27)+P27)</f>
        <v>10877.55</v>
      </c>
      <c r="T27" s="26"/>
    </row>
    <row r="28" spans="1:20" x14ac:dyDescent="0.25">
      <c r="A28" s="10" t="s">
        <v>8</v>
      </c>
      <c r="B28" s="11" t="s">
        <v>7</v>
      </c>
      <c r="C28" s="7">
        <v>5467.66</v>
      </c>
      <c r="D28" s="8">
        <v>0</v>
      </c>
      <c r="E28" s="9">
        <v>0</v>
      </c>
      <c r="F28" s="8">
        <v>604.77</v>
      </c>
      <c r="G28" s="8">
        <v>0</v>
      </c>
      <c r="H28" s="8">
        <f>1.8+0.27+1056.96+514.68+241.79</f>
        <v>1815.5</v>
      </c>
      <c r="I28" s="18">
        <f t="shared" si="0"/>
        <v>7283.16</v>
      </c>
      <c r="J28" s="8">
        <v>621.03</v>
      </c>
      <c r="K28" s="8">
        <v>962.73</v>
      </c>
      <c r="L28" s="8">
        <v>0</v>
      </c>
      <c r="M28" s="8">
        <v>30.21</v>
      </c>
      <c r="N28" s="8">
        <v>0</v>
      </c>
      <c r="O28" s="8">
        <v>0</v>
      </c>
      <c r="P28" s="8">
        <v>0</v>
      </c>
      <c r="Q28" s="8">
        <v>0</v>
      </c>
      <c r="R28" s="9">
        <f t="shared" si="1"/>
        <v>1613.97</v>
      </c>
      <c r="S28" s="9">
        <f t="shared" ref="S28:S62" si="3">I28-R28</f>
        <v>5669.19</v>
      </c>
      <c r="T28" s="26"/>
    </row>
    <row r="29" spans="1:20" x14ac:dyDescent="0.25">
      <c r="A29" s="10" t="s">
        <v>50</v>
      </c>
      <c r="B29" s="11" t="s">
        <v>10</v>
      </c>
      <c r="C29" s="7">
        <v>2668.96</v>
      </c>
      <c r="D29" s="8">
        <f>533.69+334.16+24.08+34.18+0.09+8.96+401.48</f>
        <v>1336.6400000000003</v>
      </c>
      <c r="E29" s="9">
        <v>0</v>
      </c>
      <c r="F29" s="8">
        <v>668.43</v>
      </c>
      <c r="G29" s="8">
        <v>0</v>
      </c>
      <c r="H29" s="8">
        <f>90.08+13.86</f>
        <v>103.94</v>
      </c>
      <c r="I29" s="18">
        <f t="shared" si="0"/>
        <v>4109.54</v>
      </c>
      <c r="J29" s="8">
        <f>345.11+106.93</f>
        <v>452.04</v>
      </c>
      <c r="K29" s="8">
        <v>39.28</v>
      </c>
      <c r="L29" s="8">
        <v>0</v>
      </c>
      <c r="M29" s="8">
        <v>33.39</v>
      </c>
      <c r="N29" s="8">
        <v>0</v>
      </c>
      <c r="O29" s="8">
        <f>28+99.14</f>
        <v>127.14</v>
      </c>
      <c r="P29" s="8">
        <v>0</v>
      </c>
      <c r="Q29" s="8">
        <v>1229.71</v>
      </c>
      <c r="R29" s="9">
        <f t="shared" si="1"/>
        <v>1881.56</v>
      </c>
      <c r="S29" s="9">
        <f t="shared" si="3"/>
        <v>2227.98</v>
      </c>
      <c r="T29" s="26"/>
    </row>
    <row r="30" spans="1:20" x14ac:dyDescent="0.25">
      <c r="A30" s="10" t="s">
        <v>17</v>
      </c>
      <c r="B30" s="11" t="s">
        <v>11</v>
      </c>
      <c r="C30" s="7">
        <f>1192.61+1191.68</f>
        <v>2384.29</v>
      </c>
      <c r="D30" s="8">
        <f>2383.35+794.45</f>
        <v>3177.8</v>
      </c>
      <c r="E30" s="9">
        <v>0</v>
      </c>
      <c r="F30" s="8">
        <v>668.43</v>
      </c>
      <c r="G30" s="8">
        <v>0</v>
      </c>
      <c r="H30" s="8">
        <v>0</v>
      </c>
      <c r="I30" s="18">
        <f t="shared" si="0"/>
        <v>5562.09</v>
      </c>
      <c r="J30" s="8">
        <f>79.44+95.4</f>
        <v>174.84</v>
      </c>
      <c r="K30" s="8">
        <v>0</v>
      </c>
      <c r="L30" s="8">
        <f>158.97+39.68</f>
        <v>198.65</v>
      </c>
      <c r="M30" s="8">
        <v>33.39</v>
      </c>
      <c r="N30" s="8">
        <v>0</v>
      </c>
      <c r="O30" s="8">
        <f>24.35+89.22</f>
        <v>113.57</v>
      </c>
      <c r="P30" s="8">
        <v>0</v>
      </c>
      <c r="Q30" s="8">
        <v>0</v>
      </c>
      <c r="R30" s="9">
        <f t="shared" si="1"/>
        <v>520.45000000000005</v>
      </c>
      <c r="S30" s="9">
        <f t="shared" si="3"/>
        <v>5041.6400000000003</v>
      </c>
      <c r="T30" s="26"/>
    </row>
    <row r="31" spans="1:20" x14ac:dyDescent="0.25">
      <c r="A31" s="10" t="s">
        <v>99</v>
      </c>
      <c r="B31" s="11" t="s">
        <v>100</v>
      </c>
      <c r="C31" s="7">
        <v>4798.76</v>
      </c>
      <c r="D31" s="8">
        <v>0</v>
      </c>
      <c r="E31" s="9">
        <v>0</v>
      </c>
      <c r="F31" s="8">
        <v>668.43</v>
      </c>
      <c r="G31" s="8">
        <v>0</v>
      </c>
      <c r="H31" s="8">
        <v>0</v>
      </c>
      <c r="I31" s="18">
        <f t="shared" si="0"/>
        <v>4798.76</v>
      </c>
      <c r="J31" s="8">
        <v>527.86</v>
      </c>
      <c r="K31" s="8">
        <v>324.82</v>
      </c>
      <c r="L31" s="8">
        <v>0</v>
      </c>
      <c r="M31" s="8">
        <v>33.39</v>
      </c>
      <c r="N31" s="8">
        <v>0</v>
      </c>
      <c r="O31" s="8">
        <v>0</v>
      </c>
      <c r="P31" s="8">
        <v>0</v>
      </c>
      <c r="Q31" s="8">
        <v>0</v>
      </c>
      <c r="R31" s="9">
        <f>J31+K31+L31+M31+N31+O31+Q31+399.64</f>
        <v>1285.71</v>
      </c>
      <c r="S31" s="9">
        <f t="shared" si="3"/>
        <v>3513.05</v>
      </c>
      <c r="T31" s="26"/>
    </row>
    <row r="32" spans="1:20" x14ac:dyDescent="0.25">
      <c r="A32" s="10" t="s">
        <v>34</v>
      </c>
      <c r="B32" s="11" t="s">
        <v>11</v>
      </c>
      <c r="C32" s="7">
        <v>2383.35</v>
      </c>
      <c r="D32" s="8">
        <v>0</v>
      </c>
      <c r="E32" s="9">
        <v>0</v>
      </c>
      <c r="F32" s="8">
        <v>668.43</v>
      </c>
      <c r="G32" s="8">
        <v>0</v>
      </c>
      <c r="H32" s="8">
        <v>0</v>
      </c>
      <c r="I32" s="18">
        <f t="shared" si="0"/>
        <v>2383.35</v>
      </c>
      <c r="J32" s="8">
        <v>213.32</v>
      </c>
      <c r="K32" s="8">
        <v>18.97</v>
      </c>
      <c r="L32" s="8">
        <v>13.11</v>
      </c>
      <c r="M32" s="8">
        <v>33.39</v>
      </c>
      <c r="N32" s="8">
        <v>0</v>
      </c>
      <c r="O32" s="8">
        <v>32.21</v>
      </c>
      <c r="P32" s="8">
        <v>0</v>
      </c>
      <c r="Q32" s="8">
        <v>0</v>
      </c>
      <c r="R32" s="9">
        <f t="shared" si="1"/>
        <v>310.99999999999994</v>
      </c>
      <c r="S32" s="9">
        <f t="shared" si="3"/>
        <v>2072.35</v>
      </c>
      <c r="T32" s="26"/>
    </row>
    <row r="33" spans="1:61" x14ac:dyDescent="0.25">
      <c r="A33" s="10" t="s">
        <v>9</v>
      </c>
      <c r="B33" s="11" t="s">
        <v>7</v>
      </c>
      <c r="C33" s="7">
        <f>119.18+5204.31</f>
        <v>5323.4900000000007</v>
      </c>
      <c r="D33" s="8">
        <v>0</v>
      </c>
      <c r="E33" s="9">
        <v>0</v>
      </c>
      <c r="F33" s="8">
        <v>668.43</v>
      </c>
      <c r="G33" s="8">
        <v>0</v>
      </c>
      <c r="H33" s="8">
        <v>0</v>
      </c>
      <c r="I33" s="18">
        <f t="shared" si="0"/>
        <v>5323.4900000000007</v>
      </c>
      <c r="J33" s="8">
        <v>565.94000000000005</v>
      </c>
      <c r="K33" s="8">
        <v>394.15</v>
      </c>
      <c r="L33" s="8">
        <v>59.33</v>
      </c>
      <c r="M33" s="8">
        <v>33.39</v>
      </c>
      <c r="N33" s="8">
        <v>0</v>
      </c>
      <c r="O33" s="8">
        <f>28+39.65</f>
        <v>67.650000000000006</v>
      </c>
      <c r="P33" s="8">
        <v>0</v>
      </c>
      <c r="Q33" s="8">
        <v>0</v>
      </c>
      <c r="R33" s="9">
        <f t="shared" si="1"/>
        <v>1120.4600000000003</v>
      </c>
      <c r="S33" s="9">
        <f t="shared" si="3"/>
        <v>4203.0300000000007</v>
      </c>
      <c r="T33" s="26"/>
    </row>
    <row r="34" spans="1:61" x14ac:dyDescent="0.25">
      <c r="A34" s="10" t="s">
        <v>5</v>
      </c>
      <c r="B34" s="11" t="s">
        <v>96</v>
      </c>
      <c r="C34" s="7">
        <v>11395.69</v>
      </c>
      <c r="D34" s="8">
        <v>0</v>
      </c>
      <c r="E34" s="9">
        <v>0</v>
      </c>
      <c r="F34" s="8">
        <v>668.43</v>
      </c>
      <c r="G34" s="8">
        <v>0</v>
      </c>
      <c r="H34" s="8">
        <v>0</v>
      </c>
      <c r="I34" s="18">
        <f t="shared" si="0"/>
        <v>11395.69</v>
      </c>
      <c r="J34" s="8">
        <v>621.03</v>
      </c>
      <c r="K34" s="8">
        <v>2041.53</v>
      </c>
      <c r="L34" s="8">
        <v>0</v>
      </c>
      <c r="M34" s="8">
        <v>33.39</v>
      </c>
      <c r="N34" s="8">
        <v>0</v>
      </c>
      <c r="O34" s="8">
        <f>37.04+249.81</f>
        <v>286.85000000000002</v>
      </c>
      <c r="P34" s="8">
        <v>403.17</v>
      </c>
      <c r="Q34" s="8">
        <v>0</v>
      </c>
      <c r="R34" s="9">
        <f t="shared" si="1"/>
        <v>2982.7999999999997</v>
      </c>
      <c r="S34" s="19">
        <f>((I34-R34)+P34)</f>
        <v>8816.0600000000013</v>
      </c>
      <c r="T34" s="26"/>
    </row>
    <row r="35" spans="1:61" x14ac:dyDescent="0.25">
      <c r="A35" s="10" t="s">
        <v>32</v>
      </c>
      <c r="B35" s="11" t="s">
        <v>13</v>
      </c>
      <c r="C35" s="7">
        <v>8627.67</v>
      </c>
      <c r="D35" s="8">
        <v>0</v>
      </c>
      <c r="E35" s="9">
        <v>0</v>
      </c>
      <c r="F35" s="8">
        <v>668.43</v>
      </c>
      <c r="G35" s="8">
        <v>0</v>
      </c>
      <c r="H35" s="8">
        <f>1.73+9.71+1.76</f>
        <v>13.200000000000001</v>
      </c>
      <c r="I35" s="18">
        <f t="shared" si="0"/>
        <v>8640.8700000000008</v>
      </c>
      <c r="J35" s="8">
        <f>538.22+82.81</f>
        <v>621.03</v>
      </c>
      <c r="K35" s="8">
        <v>1336.1</v>
      </c>
      <c r="L35" s="8">
        <v>0</v>
      </c>
      <c r="M35" s="8">
        <v>33.39</v>
      </c>
      <c r="N35" s="8">
        <v>0</v>
      </c>
      <c r="O35" s="8">
        <f>32.21+39.65</f>
        <v>71.86</v>
      </c>
      <c r="P35" s="8">
        <v>0</v>
      </c>
      <c r="Q35" s="8">
        <v>0</v>
      </c>
      <c r="R35" s="9">
        <f t="shared" si="1"/>
        <v>2062.38</v>
      </c>
      <c r="S35" s="9">
        <f t="shared" si="3"/>
        <v>6578.4900000000007</v>
      </c>
      <c r="T35" s="26"/>
    </row>
    <row r="36" spans="1:61" x14ac:dyDescent="0.25">
      <c r="A36" s="10" t="s">
        <v>27</v>
      </c>
      <c r="B36" s="11" t="s">
        <v>11</v>
      </c>
      <c r="C36" s="7">
        <v>2383.35</v>
      </c>
      <c r="D36" s="8">
        <v>0</v>
      </c>
      <c r="E36" s="9">
        <v>0</v>
      </c>
      <c r="F36" s="8">
        <v>668.43</v>
      </c>
      <c r="G36" s="8">
        <v>172</v>
      </c>
      <c r="H36" s="8">
        <f>1.97+0.3</f>
        <v>2.27</v>
      </c>
      <c r="I36" s="18">
        <f t="shared" si="0"/>
        <v>2385.62</v>
      </c>
      <c r="J36" s="8">
        <v>214.7</v>
      </c>
      <c r="K36" s="8">
        <v>20.02</v>
      </c>
      <c r="L36" s="8">
        <v>0</v>
      </c>
      <c r="M36" s="8">
        <v>33.39</v>
      </c>
      <c r="N36" s="8">
        <v>143</v>
      </c>
      <c r="O36" s="8">
        <f>42.97+126.9</f>
        <v>169.87</v>
      </c>
      <c r="P36" s="8">
        <v>0</v>
      </c>
      <c r="Q36" s="8">
        <v>0</v>
      </c>
      <c r="R36" s="9">
        <f>J36+K36+L36+M36+N36+O36+Q36+180.5</f>
        <v>761.48</v>
      </c>
      <c r="S36" s="9">
        <f t="shared" si="3"/>
        <v>1624.1399999999999</v>
      </c>
      <c r="T36" s="26"/>
    </row>
    <row r="37" spans="1:61" x14ac:dyDescent="0.25">
      <c r="A37" s="10" t="s">
        <v>58</v>
      </c>
      <c r="B37" s="11" t="s">
        <v>11</v>
      </c>
      <c r="C37" s="7">
        <v>1890.5</v>
      </c>
      <c r="D37" s="8">
        <f>378.05+213.54+15.57+13.19+0.09+229.3+4.42</f>
        <v>854.1600000000002</v>
      </c>
      <c r="E37" s="9">
        <v>1100.79</v>
      </c>
      <c r="F37" s="8">
        <v>413.79</v>
      </c>
      <c r="G37" s="8">
        <v>172</v>
      </c>
      <c r="H37" s="8">
        <f>17.99+258.02+42.46</f>
        <v>318.46999999999997</v>
      </c>
      <c r="I37" s="18">
        <f t="shared" si="0"/>
        <v>4163.92</v>
      </c>
      <c r="J37" s="8">
        <f>389.7+68.33</f>
        <v>458.03</v>
      </c>
      <c r="K37" s="8">
        <v>83.21</v>
      </c>
      <c r="L37" s="8">
        <v>0</v>
      </c>
      <c r="M37" s="8">
        <v>20.67</v>
      </c>
      <c r="N37" s="8">
        <v>113.43</v>
      </c>
      <c r="O37" s="8">
        <v>51.99</v>
      </c>
      <c r="P37" s="8">
        <v>0</v>
      </c>
      <c r="Q37" s="8">
        <v>785.83</v>
      </c>
      <c r="R37" s="9">
        <f t="shared" si="1"/>
        <v>1513.1599999999999</v>
      </c>
      <c r="S37" s="9">
        <f t="shared" si="3"/>
        <v>2650.76</v>
      </c>
      <c r="T37" s="26"/>
    </row>
    <row r="38" spans="1:61" x14ac:dyDescent="0.25">
      <c r="A38" s="10" t="s">
        <v>93</v>
      </c>
      <c r="B38" s="11" t="s">
        <v>94</v>
      </c>
      <c r="C38" s="7">
        <v>11395.69</v>
      </c>
      <c r="D38" s="8">
        <v>0</v>
      </c>
      <c r="E38" s="9">
        <v>0</v>
      </c>
      <c r="F38" s="8">
        <v>572.94000000000005</v>
      </c>
      <c r="G38" s="8">
        <v>0</v>
      </c>
      <c r="H38" s="8">
        <v>0</v>
      </c>
      <c r="I38" s="18">
        <f t="shared" si="0"/>
        <v>11395.69</v>
      </c>
      <c r="J38" s="8">
        <v>621.03</v>
      </c>
      <c r="K38" s="8">
        <v>2093.67</v>
      </c>
      <c r="L38" s="8">
        <v>0</v>
      </c>
      <c r="M38" s="8">
        <v>28.62</v>
      </c>
      <c r="N38" s="8">
        <v>0</v>
      </c>
      <c r="O38" s="8">
        <v>51.99</v>
      </c>
      <c r="P38" s="8">
        <v>0</v>
      </c>
      <c r="Q38" s="8">
        <v>0</v>
      </c>
      <c r="R38" s="9">
        <f t="shared" si="1"/>
        <v>2795.3099999999995</v>
      </c>
      <c r="S38" s="9">
        <f t="shared" si="3"/>
        <v>8600.380000000001</v>
      </c>
      <c r="T38" s="26"/>
    </row>
    <row r="39" spans="1:61" x14ac:dyDescent="0.25">
      <c r="A39" s="10" t="s">
        <v>51</v>
      </c>
      <c r="B39" s="11" t="s">
        <v>52</v>
      </c>
      <c r="C39" s="7">
        <v>2998.93</v>
      </c>
      <c r="D39" s="8">
        <f>599.71+226.96+44.89+24.88+0.68+10.73</f>
        <v>907.85</v>
      </c>
      <c r="E39" s="9">
        <v>0</v>
      </c>
      <c r="F39" s="8">
        <v>668.43</v>
      </c>
      <c r="G39" s="8">
        <v>148.19999999999999</v>
      </c>
      <c r="H39" s="8">
        <f>226.71+283.93+78.56</f>
        <v>589.20000000000005</v>
      </c>
      <c r="I39" s="18">
        <f t="shared" si="0"/>
        <v>4495.9799999999996</v>
      </c>
      <c r="J39" s="8">
        <f>421.93+72.62</f>
        <v>494.55</v>
      </c>
      <c r="K39" s="8">
        <v>120.13</v>
      </c>
      <c r="L39" s="8">
        <v>0</v>
      </c>
      <c r="M39" s="8">
        <v>33.39</v>
      </c>
      <c r="N39" s="8">
        <v>148.19999999999999</v>
      </c>
      <c r="O39" s="8">
        <f>67.6+39.65</f>
        <v>107.25</v>
      </c>
      <c r="P39" s="8">
        <v>0</v>
      </c>
      <c r="Q39" s="8">
        <v>835.23</v>
      </c>
      <c r="R39" s="9">
        <f t="shared" si="1"/>
        <v>1738.75</v>
      </c>
      <c r="S39" s="9">
        <f t="shared" si="3"/>
        <v>2757.2299999999996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</row>
    <row r="40" spans="1:61" x14ac:dyDescent="0.25">
      <c r="A40" s="10" t="s">
        <v>53</v>
      </c>
      <c r="B40" s="11" t="s">
        <v>11</v>
      </c>
      <c r="C40" s="7">
        <v>2268.5500000000002</v>
      </c>
      <c r="D40" s="8">
        <v>0</v>
      </c>
      <c r="E40" s="9">
        <v>0</v>
      </c>
      <c r="F40" s="8">
        <v>668.43</v>
      </c>
      <c r="G40" s="8">
        <v>172</v>
      </c>
      <c r="H40" s="8">
        <v>0</v>
      </c>
      <c r="I40" s="18">
        <f t="shared" si="0"/>
        <v>2268.5500000000002</v>
      </c>
      <c r="J40" s="8">
        <v>204.16</v>
      </c>
      <c r="K40" s="8">
        <v>12.03</v>
      </c>
      <c r="L40" s="8">
        <v>0</v>
      </c>
      <c r="M40" s="8">
        <v>33.39</v>
      </c>
      <c r="N40" s="8">
        <v>136.11000000000001</v>
      </c>
      <c r="O40" s="8">
        <f>37.04+65.43</f>
        <v>102.47</v>
      </c>
      <c r="P40" s="8">
        <v>403.17</v>
      </c>
      <c r="Q40" s="8">
        <v>0</v>
      </c>
      <c r="R40" s="9">
        <f>J40+K40+L40+M40+N40+O40+Q40+370.46</f>
        <v>858.61999999999989</v>
      </c>
      <c r="S40" s="9">
        <f>((I40-R40)+P40)</f>
        <v>1813.1000000000004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</row>
    <row r="41" spans="1:61" x14ac:dyDescent="0.25">
      <c r="A41" s="20" t="s">
        <v>21</v>
      </c>
      <c r="B41" s="21" t="s">
        <v>68</v>
      </c>
      <c r="C41" s="22">
        <v>2383.35</v>
      </c>
      <c r="D41" s="8">
        <v>0</v>
      </c>
      <c r="E41" s="23">
        <v>4813.93</v>
      </c>
      <c r="F41" s="8">
        <v>668.43</v>
      </c>
      <c r="G41" s="8">
        <v>163.4</v>
      </c>
      <c r="H41" s="8">
        <v>0</v>
      </c>
      <c r="I41" s="24">
        <f t="shared" si="0"/>
        <v>7197.2800000000007</v>
      </c>
      <c r="J41" s="17">
        <v>621.03</v>
      </c>
      <c r="K41" s="17">
        <v>927.48</v>
      </c>
      <c r="L41" s="8">
        <v>42.3</v>
      </c>
      <c r="M41" s="8">
        <v>33.39</v>
      </c>
      <c r="N41" s="17">
        <v>143</v>
      </c>
      <c r="O41" s="17">
        <v>0</v>
      </c>
      <c r="P41" s="17">
        <v>0</v>
      </c>
      <c r="Q41" s="8">
        <v>0</v>
      </c>
      <c r="R41" s="23">
        <f>J41+K41+L41+M41+N41+O41+Q41</f>
        <v>1767.2</v>
      </c>
      <c r="S41" s="23">
        <f t="shared" si="3"/>
        <v>5430.0800000000008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</row>
    <row r="42" spans="1:61" s="25" customFormat="1" x14ac:dyDescent="0.25">
      <c r="A42" s="10" t="s">
        <v>61</v>
      </c>
      <c r="B42" s="11" t="s">
        <v>11</v>
      </c>
      <c r="C42" s="12">
        <v>2268.5500000000002</v>
      </c>
      <c r="D42" s="8">
        <v>0</v>
      </c>
      <c r="E42" s="9">
        <v>0</v>
      </c>
      <c r="F42" s="8">
        <v>668.43</v>
      </c>
      <c r="G42" s="8">
        <v>464</v>
      </c>
      <c r="H42" s="8">
        <f>6.47+1</f>
        <v>7.47</v>
      </c>
      <c r="I42" s="19">
        <f t="shared" si="0"/>
        <v>2276.02</v>
      </c>
      <c r="J42" s="9">
        <v>204.84</v>
      </c>
      <c r="K42" s="9">
        <v>12.54</v>
      </c>
      <c r="L42" s="8">
        <v>0</v>
      </c>
      <c r="M42" s="8">
        <v>33.39</v>
      </c>
      <c r="N42" s="9">
        <v>136.11000000000001</v>
      </c>
      <c r="O42" s="9">
        <f>67.6</f>
        <v>67.599999999999994</v>
      </c>
      <c r="P42" s="9">
        <v>0</v>
      </c>
      <c r="Q42" s="8">
        <v>0</v>
      </c>
      <c r="R42" s="9">
        <f t="shared" si="1"/>
        <v>454.48</v>
      </c>
      <c r="S42" s="9">
        <f t="shared" si="3"/>
        <v>1821.54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</row>
    <row r="43" spans="1:61" x14ac:dyDescent="0.25">
      <c r="A43" s="5" t="s">
        <v>47</v>
      </c>
      <c r="B43" s="6" t="s">
        <v>48</v>
      </c>
      <c r="C43" s="7">
        <v>7197.28</v>
      </c>
      <c r="D43" s="8">
        <v>0</v>
      </c>
      <c r="E43" s="8">
        <v>0</v>
      </c>
      <c r="F43" s="8">
        <v>668.43</v>
      </c>
      <c r="G43" s="8">
        <v>0</v>
      </c>
      <c r="H43" s="8">
        <f>14.39+2.09+919.75+713.75+251.31</f>
        <v>1901.29</v>
      </c>
      <c r="I43" s="18">
        <f t="shared" si="0"/>
        <v>9098.57</v>
      </c>
      <c r="J43" s="8">
        <v>621.03</v>
      </c>
      <c r="K43" s="8">
        <v>1461.96</v>
      </c>
      <c r="L43" s="8">
        <v>0</v>
      </c>
      <c r="M43" s="8">
        <v>28.62</v>
      </c>
      <c r="N43" s="8">
        <v>0</v>
      </c>
      <c r="O43" s="8">
        <v>51.99</v>
      </c>
      <c r="P43" s="8">
        <v>0</v>
      </c>
      <c r="Q43" s="8">
        <v>0</v>
      </c>
      <c r="R43" s="8">
        <f t="shared" si="1"/>
        <v>2163.5999999999995</v>
      </c>
      <c r="S43" s="8">
        <f t="shared" si="3"/>
        <v>6934.97</v>
      </c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</row>
    <row r="44" spans="1:61" x14ac:dyDescent="0.25">
      <c r="A44" s="10" t="s">
        <v>24</v>
      </c>
      <c r="B44" s="11" t="s">
        <v>64</v>
      </c>
      <c r="C44" s="7">
        <v>8627.67</v>
      </c>
      <c r="D44" s="8">
        <v>0</v>
      </c>
      <c r="E44" s="9">
        <v>2768.02</v>
      </c>
      <c r="F44" s="8">
        <v>668.43</v>
      </c>
      <c r="G44" s="8">
        <v>0</v>
      </c>
      <c r="H44" s="8">
        <v>0</v>
      </c>
      <c r="I44" s="18">
        <f t="shared" si="0"/>
        <v>11395.69</v>
      </c>
      <c r="J44" s="8">
        <v>621.03</v>
      </c>
      <c r="K44" s="8">
        <v>2041.53</v>
      </c>
      <c r="L44" s="8">
        <v>0</v>
      </c>
      <c r="M44" s="8">
        <v>33.39</v>
      </c>
      <c r="N44" s="8">
        <v>0</v>
      </c>
      <c r="O44" s="8">
        <f>32.21</f>
        <v>32.21</v>
      </c>
      <c r="P44" s="8">
        <v>0</v>
      </c>
      <c r="Q44" s="8">
        <v>0</v>
      </c>
      <c r="R44" s="9">
        <f t="shared" si="1"/>
        <v>2728.16</v>
      </c>
      <c r="S44" s="9">
        <f t="shared" si="3"/>
        <v>8667.5300000000007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</row>
    <row r="45" spans="1:61" x14ac:dyDescent="0.25">
      <c r="A45" s="10" t="s">
        <v>0</v>
      </c>
      <c r="B45" s="11" t="s">
        <v>49</v>
      </c>
      <c r="C45" s="7">
        <v>9496.6</v>
      </c>
      <c r="D45" s="8">
        <f>1899.09+633.03</f>
        <v>2532.12</v>
      </c>
      <c r="E45" s="9">
        <v>0</v>
      </c>
      <c r="F45" s="8">
        <v>668.43</v>
      </c>
      <c r="G45" s="8">
        <v>0</v>
      </c>
      <c r="H45" s="8">
        <v>0</v>
      </c>
      <c r="I45" s="18">
        <f t="shared" si="0"/>
        <v>12028.720000000001</v>
      </c>
      <c r="J45" s="8">
        <f>393.14+227.89</f>
        <v>621.03</v>
      </c>
      <c r="K45" s="8">
        <f>1634.09+30.02</f>
        <v>1664.11</v>
      </c>
      <c r="L45" s="8">
        <v>0</v>
      </c>
      <c r="M45" s="8">
        <v>33.39</v>
      </c>
      <c r="N45" s="8">
        <v>0</v>
      </c>
      <c r="O45" s="8">
        <f>126.92+39.65</f>
        <v>166.57</v>
      </c>
      <c r="P45" s="8">
        <v>0</v>
      </c>
      <c r="Q45" s="8">
        <v>2274.21</v>
      </c>
      <c r="R45" s="9">
        <f t="shared" si="1"/>
        <v>4759.3099999999995</v>
      </c>
      <c r="S45" s="9">
        <f t="shared" si="3"/>
        <v>7269.4100000000017</v>
      </c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</row>
    <row r="46" spans="1:61" x14ac:dyDescent="0.25">
      <c r="A46" s="10" t="s">
        <v>26</v>
      </c>
      <c r="B46" s="11" t="s">
        <v>13</v>
      </c>
      <c r="C46" s="7">
        <v>8627.67</v>
      </c>
      <c r="D46" s="8">
        <v>0</v>
      </c>
      <c r="E46" s="9">
        <v>0</v>
      </c>
      <c r="F46" s="8">
        <v>668.43</v>
      </c>
      <c r="G46" s="8">
        <v>0</v>
      </c>
      <c r="H46" s="8">
        <f>29.12+4.48</f>
        <v>33.6</v>
      </c>
      <c r="I46" s="18">
        <f t="shared" si="0"/>
        <v>8661.27</v>
      </c>
      <c r="J46" s="8">
        <v>621.03</v>
      </c>
      <c r="K46" s="8">
        <v>1341.71</v>
      </c>
      <c r="L46" s="8">
        <v>0</v>
      </c>
      <c r="M46" s="8">
        <v>33.39</v>
      </c>
      <c r="N46" s="8">
        <v>0</v>
      </c>
      <c r="O46" s="8">
        <f>32.21</f>
        <v>32.21</v>
      </c>
      <c r="P46" s="8">
        <v>0</v>
      </c>
      <c r="Q46" s="8">
        <v>0</v>
      </c>
      <c r="R46" s="9">
        <f t="shared" si="1"/>
        <v>2028.3400000000001</v>
      </c>
      <c r="S46" s="9">
        <f t="shared" si="3"/>
        <v>6632.93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</row>
    <row r="47" spans="1:61" x14ac:dyDescent="0.25">
      <c r="A47" s="10" t="s">
        <v>31</v>
      </c>
      <c r="B47" s="11" t="s">
        <v>11</v>
      </c>
      <c r="C47" s="7">
        <v>1986.16</v>
      </c>
      <c r="D47" s="8">
        <f>397.19+142.94+10.07+16.82+0.61+4.14</f>
        <v>571.7700000000001</v>
      </c>
      <c r="E47" s="9">
        <v>0</v>
      </c>
      <c r="F47" s="8">
        <v>604.77</v>
      </c>
      <c r="G47" s="8">
        <v>0</v>
      </c>
      <c r="H47" s="8">
        <f>29.79+4.58</f>
        <v>34.369999999999997</v>
      </c>
      <c r="I47" s="18">
        <f t="shared" si="0"/>
        <v>2592.3000000000002</v>
      </c>
      <c r="J47" s="8">
        <f>187.08+45.74</f>
        <v>232.82000000000002</v>
      </c>
      <c r="K47" s="8">
        <v>0</v>
      </c>
      <c r="L47" s="8">
        <v>5.36</v>
      </c>
      <c r="M47" s="8">
        <v>30.21</v>
      </c>
      <c r="N47" s="8">
        <v>0</v>
      </c>
      <c r="O47" s="8">
        <f>28+99.14</f>
        <v>127.14</v>
      </c>
      <c r="P47" s="8">
        <v>0</v>
      </c>
      <c r="Q47" s="8">
        <v>526.03</v>
      </c>
      <c r="R47" s="9">
        <f t="shared" si="1"/>
        <v>921.56</v>
      </c>
      <c r="S47" s="9">
        <f t="shared" si="3"/>
        <v>1670.7400000000002</v>
      </c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</row>
    <row r="48" spans="1:61" x14ac:dyDescent="0.25">
      <c r="A48" s="10" t="s">
        <v>44</v>
      </c>
      <c r="B48" s="11" t="s">
        <v>45</v>
      </c>
      <c r="C48" s="7">
        <v>1213.9100000000001</v>
      </c>
      <c r="D48" s="8">
        <f>3296.15+1314.93+6.18+7.59+0.39+2.12+632.37</f>
        <v>5259.7300000000005</v>
      </c>
      <c r="E48" s="16">
        <v>1519.44</v>
      </c>
      <c r="F48" s="8">
        <v>668.43</v>
      </c>
      <c r="G48" s="8">
        <v>0</v>
      </c>
      <c r="H48" s="8">
        <v>0</v>
      </c>
      <c r="I48" s="18">
        <f t="shared" si="0"/>
        <v>7993.08</v>
      </c>
      <c r="J48" s="8">
        <f>42.46+578.57</f>
        <v>621.03000000000009</v>
      </c>
      <c r="K48" s="8">
        <f>59.02+417.96</f>
        <v>476.97999999999996</v>
      </c>
      <c r="L48" s="8">
        <v>0</v>
      </c>
      <c r="M48" s="8">
        <v>33.39</v>
      </c>
      <c r="N48" s="15">
        <v>0</v>
      </c>
      <c r="O48" s="15">
        <v>28</v>
      </c>
      <c r="P48" s="15">
        <v>0</v>
      </c>
      <c r="Q48" s="8">
        <v>4263.2</v>
      </c>
      <c r="R48" s="9">
        <f t="shared" si="1"/>
        <v>5422.6</v>
      </c>
      <c r="S48" s="9">
        <f t="shared" si="3"/>
        <v>2570.4799999999996</v>
      </c>
      <c r="T48" s="26"/>
    </row>
    <row r="49" spans="1:20" x14ac:dyDescent="0.25">
      <c r="A49" s="10" t="s">
        <v>39</v>
      </c>
      <c r="B49" s="11" t="s">
        <v>13</v>
      </c>
      <c r="C49" s="7">
        <v>8294.27</v>
      </c>
      <c r="D49" s="8">
        <v>0</v>
      </c>
      <c r="E49" s="9">
        <v>0</v>
      </c>
      <c r="F49" s="8">
        <v>668.43</v>
      </c>
      <c r="G49" s="8">
        <v>0</v>
      </c>
      <c r="H49" s="8">
        <v>0</v>
      </c>
      <c r="I49" s="18">
        <f t="shared" si="0"/>
        <v>8294.27</v>
      </c>
      <c r="J49" s="8">
        <v>621.03</v>
      </c>
      <c r="K49" s="8">
        <v>1145.0999999999999</v>
      </c>
      <c r="L49" s="8">
        <f>276.61+71.33</f>
        <v>347.94</v>
      </c>
      <c r="M49" s="8">
        <v>33.39</v>
      </c>
      <c r="N49" s="8">
        <v>0</v>
      </c>
      <c r="O49" s="8">
        <v>0</v>
      </c>
      <c r="P49" s="8">
        <v>0</v>
      </c>
      <c r="Q49" s="8">
        <v>0</v>
      </c>
      <c r="R49" s="9">
        <f t="shared" si="1"/>
        <v>2147.4599999999996</v>
      </c>
      <c r="S49" s="9">
        <f t="shared" si="3"/>
        <v>6146.8100000000013</v>
      </c>
      <c r="T49" s="26"/>
    </row>
    <row r="50" spans="1:20" x14ac:dyDescent="0.25">
      <c r="A50" s="10" t="s">
        <v>14</v>
      </c>
      <c r="B50" s="11" t="s">
        <v>13</v>
      </c>
      <c r="C50" s="7">
        <v>8627.67</v>
      </c>
      <c r="D50" s="8">
        <v>0</v>
      </c>
      <c r="E50" s="9">
        <v>0</v>
      </c>
      <c r="F50" s="8">
        <v>668.43</v>
      </c>
      <c r="G50" s="8">
        <v>0</v>
      </c>
      <c r="H50" s="8">
        <f>4.31+0.6+551.62+84.86</f>
        <v>641.39</v>
      </c>
      <c r="I50" s="18">
        <f t="shared" si="0"/>
        <v>9269.06</v>
      </c>
      <c r="J50" s="8">
        <v>621.03</v>
      </c>
      <c r="K50" s="8">
        <v>1508.85</v>
      </c>
      <c r="L50" s="8">
        <v>0</v>
      </c>
      <c r="M50" s="8">
        <v>33.39</v>
      </c>
      <c r="N50" s="8">
        <v>0</v>
      </c>
      <c r="O50" s="8">
        <v>0</v>
      </c>
      <c r="P50" s="8">
        <v>0</v>
      </c>
      <c r="Q50" s="8">
        <v>0</v>
      </c>
      <c r="R50" s="9">
        <f>J50+K50+L50+M50+N50+O50+Q50</f>
        <v>2163.27</v>
      </c>
      <c r="S50" s="9">
        <f t="shared" si="3"/>
        <v>7105.7899999999991</v>
      </c>
      <c r="T50" s="26"/>
    </row>
    <row r="51" spans="1:20" x14ac:dyDescent="0.25">
      <c r="A51" s="10" t="s">
        <v>82</v>
      </c>
      <c r="B51" s="11" t="s">
        <v>11</v>
      </c>
      <c r="C51" s="7">
        <v>2268.5500000000002</v>
      </c>
      <c r="D51" s="8">
        <v>0</v>
      </c>
      <c r="E51" s="9">
        <v>0</v>
      </c>
      <c r="F51" s="8">
        <v>668.43</v>
      </c>
      <c r="G51" s="8">
        <v>0</v>
      </c>
      <c r="H51" s="8">
        <v>0</v>
      </c>
      <c r="I51" s="18">
        <f t="shared" si="0"/>
        <v>2268.5500000000002</v>
      </c>
      <c r="J51" s="8">
        <v>192.99</v>
      </c>
      <c r="K51" s="8">
        <v>0</v>
      </c>
      <c r="L51" s="8">
        <f>75.66+48.55</f>
        <v>124.21</v>
      </c>
      <c r="M51" s="8">
        <v>33.39</v>
      </c>
      <c r="N51" s="8">
        <v>0</v>
      </c>
      <c r="O51" s="8">
        <f>126.92</f>
        <v>126.92</v>
      </c>
      <c r="P51" s="8">
        <v>0</v>
      </c>
      <c r="Q51" s="8">
        <v>0</v>
      </c>
      <c r="R51" s="9">
        <f t="shared" si="1"/>
        <v>477.51</v>
      </c>
      <c r="S51" s="9">
        <f t="shared" si="3"/>
        <v>1791.0400000000002</v>
      </c>
      <c r="T51" s="26"/>
    </row>
    <row r="52" spans="1:20" ht="15.75" customHeight="1" x14ac:dyDescent="0.25">
      <c r="A52" s="10" t="s">
        <v>38</v>
      </c>
      <c r="B52" s="11" t="s">
        <v>97</v>
      </c>
      <c r="C52" s="7">
        <v>2291.2399999999998</v>
      </c>
      <c r="D52" s="8">
        <v>0</v>
      </c>
      <c r="E52" s="9">
        <v>1307.4000000000001</v>
      </c>
      <c r="F52" s="8">
        <v>604.77</v>
      </c>
      <c r="G52" s="8">
        <v>389.5</v>
      </c>
      <c r="H52" s="8">
        <f>1.19+0.11+353.68+54.41</f>
        <v>409.39</v>
      </c>
      <c r="I52" s="18">
        <f t="shared" si="0"/>
        <v>4008.0299999999997</v>
      </c>
      <c r="J52" s="8">
        <v>440.88</v>
      </c>
      <c r="K52" s="8">
        <v>180.27</v>
      </c>
      <c r="L52" s="8">
        <v>0</v>
      </c>
      <c r="M52" s="8">
        <v>30.21</v>
      </c>
      <c r="N52" s="8">
        <v>137.47</v>
      </c>
      <c r="O52" s="8">
        <v>28</v>
      </c>
      <c r="P52" s="8">
        <v>0</v>
      </c>
      <c r="Q52" s="8">
        <v>0</v>
      </c>
      <c r="R52" s="9">
        <f t="shared" si="1"/>
        <v>816.83</v>
      </c>
      <c r="S52" s="9">
        <f t="shared" si="3"/>
        <v>3191.2</v>
      </c>
      <c r="T52" s="26"/>
    </row>
    <row r="53" spans="1:20" ht="15.75" customHeight="1" x14ac:dyDescent="0.25">
      <c r="A53" s="10" t="s">
        <v>95</v>
      </c>
      <c r="B53" s="11" t="s">
        <v>11</v>
      </c>
      <c r="C53" s="7">
        <v>2268.5500000000002</v>
      </c>
      <c r="D53" s="8">
        <v>0</v>
      </c>
      <c r="E53" s="9">
        <v>0</v>
      </c>
      <c r="F53" s="8">
        <v>668.43</v>
      </c>
      <c r="G53" s="8">
        <v>0</v>
      </c>
      <c r="H53" s="8">
        <f>10.21+1.57</f>
        <v>11.780000000000001</v>
      </c>
      <c r="I53" s="18">
        <f t="shared" si="0"/>
        <v>2280.3300000000004</v>
      </c>
      <c r="J53" s="8">
        <v>205.22</v>
      </c>
      <c r="K53" s="8">
        <v>12.83</v>
      </c>
      <c r="L53" s="8">
        <v>0</v>
      </c>
      <c r="M53" s="8">
        <v>33.39</v>
      </c>
      <c r="N53" s="8">
        <v>0</v>
      </c>
      <c r="O53" s="8">
        <v>67.599999999999994</v>
      </c>
      <c r="P53" s="8">
        <v>0</v>
      </c>
      <c r="Q53" s="8">
        <v>0</v>
      </c>
      <c r="R53" s="9">
        <f t="shared" si="1"/>
        <v>319.03999999999996</v>
      </c>
      <c r="S53" s="9">
        <f t="shared" si="3"/>
        <v>1961.2900000000004</v>
      </c>
    </row>
    <row r="54" spans="1:20" x14ac:dyDescent="0.25">
      <c r="A54" s="10" t="s">
        <v>36</v>
      </c>
      <c r="B54" s="11" t="s">
        <v>11</v>
      </c>
      <c r="C54" s="7">
        <v>2383.35</v>
      </c>
      <c r="D54" s="8">
        <v>0</v>
      </c>
      <c r="E54" s="9">
        <v>1215.29</v>
      </c>
      <c r="F54" s="8">
        <v>445.62</v>
      </c>
      <c r="G54" s="8">
        <v>0</v>
      </c>
      <c r="H54" s="8">
        <f>62.97+146.83+32.28</f>
        <v>242.08</v>
      </c>
      <c r="I54" s="18">
        <f t="shared" si="0"/>
        <v>3840.72</v>
      </c>
      <c r="J54" s="8">
        <v>422.47</v>
      </c>
      <c r="K54" s="8">
        <v>157.94</v>
      </c>
      <c r="L54" s="8">
        <v>0</v>
      </c>
      <c r="M54" s="8">
        <v>22.26</v>
      </c>
      <c r="N54" s="8">
        <v>0</v>
      </c>
      <c r="O54" s="8">
        <v>28</v>
      </c>
      <c r="P54" s="8">
        <v>0</v>
      </c>
      <c r="Q54" s="8">
        <v>0</v>
      </c>
      <c r="R54" s="9">
        <f t="shared" si="1"/>
        <v>630.67000000000007</v>
      </c>
      <c r="S54" s="9">
        <f t="shared" si="3"/>
        <v>3210.0499999999997</v>
      </c>
    </row>
    <row r="55" spans="1:20" x14ac:dyDescent="0.25">
      <c r="A55" s="10" t="s">
        <v>22</v>
      </c>
      <c r="B55" s="11" t="s">
        <v>66</v>
      </c>
      <c r="C55" s="7">
        <v>2383.35</v>
      </c>
      <c r="D55" s="8">
        <v>0</v>
      </c>
      <c r="E55" s="9">
        <v>4813.93</v>
      </c>
      <c r="F55" s="8">
        <v>668.43</v>
      </c>
      <c r="G55" s="8">
        <v>0</v>
      </c>
      <c r="H55" s="8">
        <f>7.2+1.01+431.88+109.06+83.22</f>
        <v>632.37</v>
      </c>
      <c r="I55" s="18">
        <f t="shared" si="0"/>
        <v>7829.6500000000005</v>
      </c>
      <c r="J55" s="8">
        <v>621.03</v>
      </c>
      <c r="K55" s="8">
        <v>1113.01</v>
      </c>
      <c r="L55" s="8">
        <v>0</v>
      </c>
      <c r="M55" s="8">
        <v>33.39</v>
      </c>
      <c r="N55" s="8">
        <v>0</v>
      </c>
      <c r="O55" s="8">
        <v>0</v>
      </c>
      <c r="P55" s="8">
        <v>0</v>
      </c>
      <c r="Q55" s="8">
        <v>0</v>
      </c>
      <c r="R55" s="9">
        <f t="shared" si="1"/>
        <v>1767.43</v>
      </c>
      <c r="S55" s="9">
        <f t="shared" si="3"/>
        <v>6062.22</v>
      </c>
    </row>
    <row r="56" spans="1:20" x14ac:dyDescent="0.25">
      <c r="A56" s="10" t="s">
        <v>54</v>
      </c>
      <c r="B56" s="11" t="s">
        <v>7</v>
      </c>
      <c r="C56" s="7">
        <v>1734.86</v>
      </c>
      <c r="D56" s="8">
        <f>3469.45+1445.04+36.95+41.73+12.11+774.9</f>
        <v>5780.1799999999985</v>
      </c>
      <c r="E56" s="9">
        <v>0</v>
      </c>
      <c r="F56" s="8">
        <v>668.43</v>
      </c>
      <c r="G56" s="8">
        <v>0</v>
      </c>
      <c r="H56" s="8">
        <f>42.15+6.48</f>
        <v>48.629999999999995</v>
      </c>
      <c r="I56" s="18">
        <f t="shared" si="0"/>
        <v>7563.6699999999983</v>
      </c>
      <c r="J56" s="8">
        <v>621.03</v>
      </c>
      <c r="K56" s="8">
        <v>549.41</v>
      </c>
      <c r="L56" s="8">
        <v>0</v>
      </c>
      <c r="M56" s="8">
        <v>33.39</v>
      </c>
      <c r="N56" s="8">
        <v>0</v>
      </c>
      <c r="O56" s="8">
        <f>32.21</f>
        <v>32.21</v>
      </c>
      <c r="P56" s="8">
        <v>0</v>
      </c>
      <c r="Q56" s="8">
        <v>4609.74</v>
      </c>
      <c r="R56" s="9">
        <f>J56+K56+L56+M56+N56+O56+Q56</f>
        <v>5845.78</v>
      </c>
      <c r="S56" s="9">
        <f t="shared" si="3"/>
        <v>1717.8899999999985</v>
      </c>
    </row>
    <row r="57" spans="1:20" x14ac:dyDescent="0.25">
      <c r="A57" s="10" t="s">
        <v>59</v>
      </c>
      <c r="B57" s="11" t="s">
        <v>11</v>
      </c>
      <c r="C57" s="7">
        <v>2268.5500000000002</v>
      </c>
      <c r="D57" s="8">
        <v>0</v>
      </c>
      <c r="E57" s="9">
        <v>0</v>
      </c>
      <c r="F57" s="8">
        <v>668.43</v>
      </c>
      <c r="G57" s="8">
        <v>0</v>
      </c>
      <c r="H57" s="8">
        <v>0</v>
      </c>
      <c r="I57" s="18">
        <f t="shared" si="0"/>
        <v>2268.5500000000002</v>
      </c>
      <c r="J57" s="8">
        <v>204.16</v>
      </c>
      <c r="K57" s="8">
        <v>12.03</v>
      </c>
      <c r="L57" s="8">
        <v>0</v>
      </c>
      <c r="M57" s="8">
        <v>33.39</v>
      </c>
      <c r="N57" s="8">
        <v>0</v>
      </c>
      <c r="O57" s="8">
        <v>67.599999999999994</v>
      </c>
      <c r="P57" s="8">
        <v>0</v>
      </c>
      <c r="Q57" s="8">
        <v>0</v>
      </c>
      <c r="R57" s="9">
        <f>J57+K57+L57+M57+N57+O57+Q57</f>
        <v>317.17999999999995</v>
      </c>
      <c r="S57" s="9">
        <f t="shared" si="3"/>
        <v>1951.3700000000003</v>
      </c>
    </row>
    <row r="58" spans="1:20" x14ac:dyDescent="0.25">
      <c r="A58" s="10" t="s">
        <v>60</v>
      </c>
      <c r="B58" s="11" t="s">
        <v>63</v>
      </c>
      <c r="C58" s="7">
        <v>8212.15</v>
      </c>
      <c r="D58" s="8">
        <v>0</v>
      </c>
      <c r="E58" s="9">
        <v>6287.85</v>
      </c>
      <c r="F58" s="8">
        <v>572.94000000000005</v>
      </c>
      <c r="G58" s="8">
        <v>925.05</v>
      </c>
      <c r="H58" s="8">
        <v>0</v>
      </c>
      <c r="I58" s="18">
        <f t="shared" si="0"/>
        <v>14500</v>
      </c>
      <c r="J58" s="8">
        <f>354.87+266.16</f>
        <v>621.03</v>
      </c>
      <c r="K58" s="8">
        <v>2947.36</v>
      </c>
      <c r="L58" s="8">
        <v>0</v>
      </c>
      <c r="M58" s="8">
        <v>28.62</v>
      </c>
      <c r="N58" s="8">
        <v>492.73</v>
      </c>
      <c r="O58" s="8">
        <v>42.97</v>
      </c>
      <c r="P58" s="8">
        <v>0</v>
      </c>
      <c r="Q58" s="8">
        <v>0</v>
      </c>
      <c r="R58" s="9">
        <f>J58+K58+L58+M58+N58+O58+Q58</f>
        <v>4132.71</v>
      </c>
      <c r="S58" s="19">
        <f>((I58-R58)+P58)</f>
        <v>10367.290000000001</v>
      </c>
    </row>
    <row r="59" spans="1:20" x14ac:dyDescent="0.25">
      <c r="A59" s="10" t="s">
        <v>35</v>
      </c>
      <c r="B59" s="11" t="s">
        <v>65</v>
      </c>
      <c r="C59" s="7">
        <v>2383.35</v>
      </c>
      <c r="D59" s="8">
        <v>0</v>
      </c>
      <c r="E59" s="9">
        <v>1215.29</v>
      </c>
      <c r="F59" s="8">
        <v>668.43</v>
      </c>
      <c r="G59" s="8">
        <v>464</v>
      </c>
      <c r="H59" s="8">
        <f>0.81+0.12</f>
        <v>0.93</v>
      </c>
      <c r="I59" s="18">
        <f t="shared" si="0"/>
        <v>3599.5699999999997</v>
      </c>
      <c r="J59" s="8">
        <v>387.2</v>
      </c>
      <c r="K59" s="8">
        <v>115.13</v>
      </c>
      <c r="L59" s="8">
        <v>79.48</v>
      </c>
      <c r="M59" s="8">
        <v>33.39</v>
      </c>
      <c r="N59" s="8">
        <v>143</v>
      </c>
      <c r="O59" s="8">
        <f>28+39.65</f>
        <v>67.650000000000006</v>
      </c>
      <c r="P59" s="8">
        <v>0</v>
      </c>
      <c r="Q59" s="8">
        <v>0</v>
      </c>
      <c r="R59" s="9">
        <f t="shared" si="1"/>
        <v>825.84999999999991</v>
      </c>
      <c r="S59" s="9">
        <f t="shared" si="3"/>
        <v>2773.72</v>
      </c>
    </row>
    <row r="60" spans="1:20" x14ac:dyDescent="0.25">
      <c r="A60" s="10" t="s">
        <v>33</v>
      </c>
      <c r="B60" s="11" t="s">
        <v>69</v>
      </c>
      <c r="C60" s="7">
        <v>953.34</v>
      </c>
      <c r="D60" s="8">
        <f>1430.01+726.48+4.93+12.63+729.18+2.7</f>
        <v>2905.9299999999994</v>
      </c>
      <c r="E60" s="9">
        <v>486.12</v>
      </c>
      <c r="F60" s="8">
        <v>668.43</v>
      </c>
      <c r="G60" s="8">
        <v>0</v>
      </c>
      <c r="H60" s="8">
        <v>0</v>
      </c>
      <c r="I60" s="18">
        <f t="shared" si="0"/>
        <v>4345.3899999999994</v>
      </c>
      <c r="J60" s="8">
        <f>156.53+319.65</f>
        <v>476.17999999999995</v>
      </c>
      <c r="K60" s="8">
        <v>51.17</v>
      </c>
      <c r="L60" s="8">
        <v>16.45</v>
      </c>
      <c r="M60" s="8">
        <v>33.39</v>
      </c>
      <c r="N60" s="8">
        <v>0</v>
      </c>
      <c r="O60" s="8">
        <v>32.21</v>
      </c>
      <c r="P60" s="8">
        <v>0</v>
      </c>
      <c r="Q60" s="8">
        <v>2535.1</v>
      </c>
      <c r="R60" s="9">
        <f t="shared" si="1"/>
        <v>3144.5</v>
      </c>
      <c r="S60" s="9">
        <f t="shared" si="3"/>
        <v>1200.8899999999994</v>
      </c>
    </row>
    <row r="61" spans="1:20" x14ac:dyDescent="0.25">
      <c r="A61" s="10" t="s">
        <v>46</v>
      </c>
      <c r="B61" s="11" t="s">
        <v>69</v>
      </c>
      <c r="C61" s="7">
        <v>2268.5500000000002</v>
      </c>
      <c r="D61" s="8">
        <v>0</v>
      </c>
      <c r="E61" s="9">
        <v>1330.09</v>
      </c>
      <c r="F61" s="8">
        <v>668.43</v>
      </c>
      <c r="G61" s="8">
        <v>304</v>
      </c>
      <c r="H61" s="8">
        <v>0</v>
      </c>
      <c r="I61" s="18">
        <f t="shared" si="0"/>
        <v>3598.6400000000003</v>
      </c>
      <c r="J61" s="8">
        <v>395.85</v>
      </c>
      <c r="K61" s="8">
        <v>125.62</v>
      </c>
      <c r="L61" s="8">
        <v>0</v>
      </c>
      <c r="M61" s="8">
        <v>33.39</v>
      </c>
      <c r="N61" s="8">
        <v>136.11000000000001</v>
      </c>
      <c r="O61" s="8">
        <f>28</f>
        <v>28</v>
      </c>
      <c r="P61" s="8">
        <v>0</v>
      </c>
      <c r="Q61" s="8">
        <v>0</v>
      </c>
      <c r="R61" s="9">
        <f>J61+K61+L61+M61+N61+O61+Q61</f>
        <v>718.97</v>
      </c>
      <c r="S61" s="9">
        <f t="shared" si="3"/>
        <v>2879.67</v>
      </c>
    </row>
    <row r="62" spans="1:20" x14ac:dyDescent="0.25">
      <c r="A62" s="10" t="s">
        <v>23</v>
      </c>
      <c r="B62" s="11" t="s">
        <v>98</v>
      </c>
      <c r="C62" s="7">
        <v>5467.66</v>
      </c>
      <c r="D62" s="8">
        <v>0</v>
      </c>
      <c r="E62" s="9">
        <v>1729.62</v>
      </c>
      <c r="F62" s="8">
        <v>572.94000000000005</v>
      </c>
      <c r="G62" s="8">
        <v>0</v>
      </c>
      <c r="H62" s="8">
        <f>251.93+38.76</f>
        <v>290.69</v>
      </c>
      <c r="I62" s="18">
        <f t="shared" si="0"/>
        <v>7487.9699999999993</v>
      </c>
      <c r="J62" s="8">
        <v>621.03</v>
      </c>
      <c r="K62" s="8">
        <v>1002.36</v>
      </c>
      <c r="L62" s="8">
        <v>60.69</v>
      </c>
      <c r="M62" s="8">
        <v>28.62</v>
      </c>
      <c r="N62" s="8">
        <v>0</v>
      </c>
      <c r="O62" s="8">
        <f>32.21</f>
        <v>32.21</v>
      </c>
      <c r="P62" s="8">
        <v>0</v>
      </c>
      <c r="Q62" s="8">
        <v>0</v>
      </c>
      <c r="R62" s="9">
        <f t="shared" si="1"/>
        <v>1744.9099999999999</v>
      </c>
      <c r="S62" s="9">
        <f t="shared" si="3"/>
        <v>5743.0599999999995</v>
      </c>
    </row>
    <row r="63" spans="1:20" x14ac:dyDescent="0.25">
      <c r="A63" s="31" t="s">
        <v>90</v>
      </c>
      <c r="B63" s="31"/>
      <c r="C63" s="27">
        <f>SUM(C6:C62)</f>
        <v>276352.06999999995</v>
      </c>
      <c r="D63" s="28">
        <f>SUM(D6:D62)</f>
        <v>41613.42</v>
      </c>
      <c r="E63" s="28">
        <f>SUM(E6:E62)</f>
        <v>35655.380000000005</v>
      </c>
      <c r="F63" s="27">
        <f t="shared" ref="F63:S63" si="4">SUM(F6:F62)</f>
        <v>37050.12000000001</v>
      </c>
      <c r="G63" s="28">
        <f t="shared" si="4"/>
        <v>5148.75</v>
      </c>
      <c r="H63" s="28">
        <f t="shared" si="4"/>
        <v>8956.42</v>
      </c>
      <c r="I63" s="27">
        <f t="shared" si="4"/>
        <v>362577.29000000004</v>
      </c>
      <c r="J63" s="28">
        <f t="shared" si="4"/>
        <v>27358.789999999997</v>
      </c>
      <c r="K63" s="28">
        <f t="shared" si="4"/>
        <v>42834.22</v>
      </c>
      <c r="L63" s="27">
        <f t="shared" si="4"/>
        <v>1317.9</v>
      </c>
      <c r="M63" s="28">
        <f t="shared" si="4"/>
        <v>1845.9900000000014</v>
      </c>
      <c r="N63" s="28">
        <f t="shared" si="4"/>
        <v>2594.61</v>
      </c>
      <c r="O63" s="27">
        <f t="shared" si="4"/>
        <v>3754.6499999999992</v>
      </c>
      <c r="P63" s="28">
        <f t="shared" si="4"/>
        <v>1209.51</v>
      </c>
      <c r="Q63" s="28">
        <f t="shared" si="4"/>
        <v>31088.14</v>
      </c>
      <c r="R63" s="27">
        <f t="shared" si="4"/>
        <v>111744.89999999998</v>
      </c>
      <c r="S63" s="28">
        <f t="shared" si="4"/>
        <v>252041.90000000005</v>
      </c>
    </row>
  </sheetData>
  <mergeCells count="3">
    <mergeCell ref="A3:S3"/>
    <mergeCell ref="A4:S4"/>
    <mergeCell ref="A63:B63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 2018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Cristina Espíndola Romor Vargas</cp:lastModifiedBy>
  <cp:lastPrinted>2018-09-13T19:04:22Z</cp:lastPrinted>
  <dcterms:created xsi:type="dcterms:W3CDTF">2015-04-01T12:17:47Z</dcterms:created>
  <dcterms:modified xsi:type="dcterms:W3CDTF">2018-09-13T19:05:38Z</dcterms:modified>
</cp:coreProperties>
</file>