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5" windowWidth="28830" windowHeight="12555"/>
  </bookViews>
  <sheets>
    <sheet name="ABRIL 2018" sheetId="23" r:id="rId1"/>
  </sheets>
  <calcPr calcId="145621"/>
</workbook>
</file>

<file path=xl/calcChain.xml><?xml version="1.0" encoding="utf-8"?>
<calcChain xmlns="http://schemas.openxmlformats.org/spreadsheetml/2006/main">
  <c r="I30" i="23" l="1"/>
  <c r="R30" i="23"/>
  <c r="S30" i="23" s="1"/>
  <c r="O60" i="23" l="1"/>
  <c r="J60" i="23"/>
  <c r="D60" i="23"/>
  <c r="J59" i="23"/>
  <c r="H59" i="23"/>
  <c r="D59" i="23"/>
  <c r="C59" i="23"/>
  <c r="R57" i="23"/>
  <c r="K57" i="23"/>
  <c r="J57" i="23"/>
  <c r="D57" i="23"/>
  <c r="H56" i="23"/>
  <c r="C56" i="23"/>
  <c r="O55" i="23"/>
  <c r="H55" i="23"/>
  <c r="K54" i="23"/>
  <c r="D54" i="23"/>
  <c r="H53" i="23"/>
  <c r="H52" i="23"/>
  <c r="H51" i="23"/>
  <c r="O50" i="23"/>
  <c r="L50" i="23"/>
  <c r="J50" i="23"/>
  <c r="D50" i="23"/>
  <c r="H49" i="23"/>
  <c r="H48" i="23"/>
  <c r="O46" i="23"/>
  <c r="H46" i="23"/>
  <c r="C46" i="23"/>
  <c r="H45" i="23"/>
  <c r="O44" i="23"/>
  <c r="O43" i="23"/>
  <c r="H42" i="23"/>
  <c r="O41" i="23" l="1"/>
  <c r="R40" i="23"/>
  <c r="H40" i="23"/>
  <c r="R39" i="23"/>
  <c r="O39" i="23"/>
  <c r="C39" i="23"/>
  <c r="H36" i="23"/>
  <c r="O35" i="23"/>
  <c r="L35" i="23"/>
  <c r="D34" i="23"/>
  <c r="J34" i="23"/>
  <c r="H34" i="23"/>
  <c r="H32" i="23"/>
  <c r="O28" i="23"/>
  <c r="H28" i="23"/>
  <c r="H27" i="23"/>
  <c r="H26" i="23"/>
  <c r="O25" i="23"/>
  <c r="H24" i="23"/>
  <c r="O22" i="23"/>
  <c r="K22" i="23"/>
  <c r="J22" i="23"/>
  <c r="H22" i="23"/>
  <c r="D22" i="23"/>
  <c r="C22" i="23"/>
  <c r="H18" i="23"/>
  <c r="O17" i="23"/>
  <c r="H15" i="23"/>
  <c r="O12" i="23"/>
  <c r="H12" i="23"/>
  <c r="D12" i="23"/>
  <c r="K9" i="23"/>
  <c r="H9" i="23"/>
  <c r="D9" i="23"/>
  <c r="O8" i="23"/>
  <c r="H8" i="23"/>
  <c r="K7" i="23"/>
  <c r="J7" i="23"/>
  <c r="E7" i="23"/>
  <c r="D7" i="23"/>
  <c r="J6" i="23"/>
  <c r="H6" i="23"/>
  <c r="D6" i="23"/>
  <c r="Q62" i="23" l="1"/>
  <c r="P62" i="23"/>
  <c r="N62" i="23"/>
  <c r="M62" i="23"/>
  <c r="G62" i="23"/>
  <c r="E62" i="23"/>
  <c r="R61" i="23"/>
  <c r="I61" i="23"/>
  <c r="R60" i="23"/>
  <c r="I60" i="23"/>
  <c r="R59" i="23"/>
  <c r="I59" i="23"/>
  <c r="R58" i="23"/>
  <c r="I58" i="23"/>
  <c r="I57" i="23"/>
  <c r="R56" i="23"/>
  <c r="I56" i="23"/>
  <c r="R55" i="23"/>
  <c r="I55" i="23"/>
  <c r="R54" i="23"/>
  <c r="I54" i="23"/>
  <c r="R53" i="23"/>
  <c r="I53" i="23"/>
  <c r="R52" i="23"/>
  <c r="I52" i="23"/>
  <c r="R51" i="23"/>
  <c r="I51" i="23"/>
  <c r="R50" i="23"/>
  <c r="I50" i="23"/>
  <c r="R49" i="23"/>
  <c r="I49" i="23"/>
  <c r="R48" i="23"/>
  <c r="I48" i="23"/>
  <c r="R47" i="23"/>
  <c r="I47" i="23"/>
  <c r="R46" i="23"/>
  <c r="I46" i="23"/>
  <c r="R45" i="23"/>
  <c r="I45" i="23"/>
  <c r="R44" i="23"/>
  <c r="I44" i="23"/>
  <c r="R43" i="23"/>
  <c r="I43" i="23"/>
  <c r="R42" i="23"/>
  <c r="I42" i="23"/>
  <c r="R41" i="23"/>
  <c r="I41" i="23"/>
  <c r="I40" i="23"/>
  <c r="I39" i="23"/>
  <c r="R38" i="23"/>
  <c r="O38" i="23"/>
  <c r="I38" i="23"/>
  <c r="R37" i="23"/>
  <c r="I37" i="23"/>
  <c r="R36" i="23"/>
  <c r="I36" i="23"/>
  <c r="R35" i="23"/>
  <c r="I35" i="23"/>
  <c r="R34" i="23"/>
  <c r="I34" i="23"/>
  <c r="K62" i="23"/>
  <c r="I33" i="23"/>
  <c r="R32" i="23"/>
  <c r="I32" i="23"/>
  <c r="R31" i="23"/>
  <c r="I31" i="23"/>
  <c r="R29" i="23"/>
  <c r="I29" i="23"/>
  <c r="R28" i="23"/>
  <c r="I28" i="23"/>
  <c r="R27" i="23"/>
  <c r="I27" i="23"/>
  <c r="R26" i="23"/>
  <c r="I26" i="23"/>
  <c r="R25" i="23"/>
  <c r="I25" i="23"/>
  <c r="R24" i="23"/>
  <c r="I24" i="23"/>
  <c r="R23" i="23"/>
  <c r="I23" i="23"/>
  <c r="R22" i="23"/>
  <c r="I22" i="23"/>
  <c r="R21" i="23"/>
  <c r="I21" i="23"/>
  <c r="R20" i="23"/>
  <c r="O20" i="23"/>
  <c r="I20" i="23"/>
  <c r="R19" i="23"/>
  <c r="I19" i="23"/>
  <c r="R18" i="23"/>
  <c r="I18" i="23"/>
  <c r="C62" i="23"/>
  <c r="R17" i="23"/>
  <c r="I17" i="23"/>
  <c r="R16" i="23"/>
  <c r="I16" i="23"/>
  <c r="R15" i="23"/>
  <c r="I15" i="23"/>
  <c r="R14" i="23"/>
  <c r="I14" i="23"/>
  <c r="R13" i="23"/>
  <c r="I13" i="23"/>
  <c r="R12" i="23"/>
  <c r="I12" i="23"/>
  <c r="R11" i="23"/>
  <c r="I11" i="23"/>
  <c r="R10" i="23"/>
  <c r="O10" i="23"/>
  <c r="O62" i="23" s="1"/>
  <c r="I10" i="23"/>
  <c r="R9" i="23"/>
  <c r="I9" i="23"/>
  <c r="R8" i="23"/>
  <c r="I8" i="23"/>
  <c r="F62" i="23"/>
  <c r="R7" i="23"/>
  <c r="I7" i="23"/>
  <c r="R6" i="23"/>
  <c r="J62" i="23"/>
  <c r="H62" i="23"/>
  <c r="I6" i="23"/>
  <c r="S12" i="23" l="1"/>
  <c r="S16" i="23"/>
  <c r="S61" i="23"/>
  <c r="S59" i="23"/>
  <c r="S57" i="23"/>
  <c r="S14" i="23"/>
  <c r="S7" i="23"/>
  <c r="S9" i="23"/>
  <c r="S18" i="23"/>
  <c r="S21" i="23"/>
  <c r="S23" i="23"/>
  <c r="S25" i="23"/>
  <c r="S27" i="23"/>
  <c r="S29" i="23"/>
  <c r="S36" i="23"/>
  <c r="S43" i="23"/>
  <c r="S52" i="23"/>
  <c r="S54" i="23"/>
  <c r="S39" i="23"/>
  <c r="S38" i="23"/>
  <c r="S11" i="23"/>
  <c r="S15" i="23"/>
  <c r="S45" i="23"/>
  <c r="S47" i="23"/>
  <c r="S49" i="23"/>
  <c r="S56" i="23"/>
  <c r="S20" i="23"/>
  <c r="S8" i="23"/>
  <c r="S10" i="23"/>
  <c r="S19" i="23"/>
  <c r="S22" i="23"/>
  <c r="S24" i="23"/>
  <c r="S26" i="23"/>
  <c r="S31" i="23"/>
  <c r="S37" i="23"/>
  <c r="S40" i="23"/>
  <c r="S42" i="23"/>
  <c r="S44" i="23"/>
  <c r="S51" i="23"/>
  <c r="S53" i="23"/>
  <c r="S55" i="23"/>
  <c r="S58" i="23"/>
  <c r="S60" i="23"/>
  <c r="S46" i="23"/>
  <c r="S48" i="23"/>
  <c r="S50" i="23"/>
  <c r="S35" i="23"/>
  <c r="S32" i="23"/>
  <c r="S17" i="23"/>
  <c r="S13" i="23"/>
  <c r="S28" i="23"/>
  <c r="S6" i="23"/>
  <c r="I62" i="23"/>
  <c r="S34" i="23"/>
  <c r="S41" i="23"/>
  <c r="D62" i="23"/>
  <c r="L62" i="23"/>
  <c r="R33" i="23"/>
  <c r="S33" i="23" s="1"/>
  <c r="R62" i="23" l="1"/>
  <c r="S62" i="23"/>
</calcChain>
</file>

<file path=xl/sharedStrings.xml><?xml version="1.0" encoding="utf-8"?>
<sst xmlns="http://schemas.openxmlformats.org/spreadsheetml/2006/main" count="133" uniqueCount="103">
  <si>
    <t>Marindia Izabel Girardello</t>
  </si>
  <si>
    <t>Cheila da Silva Chagas</t>
  </si>
  <si>
    <t>Gerente Financeiro</t>
  </si>
  <si>
    <t>Carla Ribeiro de Carvalho</t>
  </si>
  <si>
    <t>Gerente Administrativo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</si>
  <si>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</si>
  <si>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</si>
  <si>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</si>
  <si>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</si>
  <si>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</si>
  <si>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</si>
  <si>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</si>
  <si>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</si>
  <si>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</si>
  <si>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</si>
  <si>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</si>
  <si>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</si>
  <si>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Gabriela Teixeira da Silva</t>
  </si>
  <si>
    <t>Carla Regina Dal Lago Valério</t>
  </si>
  <si>
    <t>Secretário Executivo</t>
  </si>
  <si>
    <t>Cassio Lorensini</t>
  </si>
  <si>
    <t>Marcele Danni Acosta</t>
  </si>
  <si>
    <t>Simone Nunes Perotto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</si>
  <si>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</si>
  <si>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</si>
  <si>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</si>
  <si>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</si>
  <si>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</si>
  <si>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</si>
  <si>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</si>
  <si>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</si>
  <si>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</si>
  <si>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Karla Ronsoni Riet</t>
  </si>
  <si>
    <t>Thiago dos Santos Albrecht</t>
  </si>
  <si>
    <t>Harim Pires Beserra</t>
  </si>
  <si>
    <t>Thaís Cristina da Luz</t>
  </si>
  <si>
    <t>Sérgio Nei Roschild Bastos</t>
  </si>
  <si>
    <t>Denise Maria da Costa Lima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</si>
  <si>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</si>
  <si>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</si>
  <si>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</si>
  <si>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</si>
  <si>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</si>
  <si>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</si>
  <si>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</si>
  <si>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</si>
  <si>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Vanessa Just Blanco</t>
  </si>
  <si>
    <t>Marcia Pedrini</t>
  </si>
  <si>
    <t>Coordenadora de TI</t>
  </si>
  <si>
    <t>Gerente Técnico</t>
  </si>
  <si>
    <t>Gabriela Belnhak Moraes</t>
  </si>
  <si>
    <t>Luis Carlos Lopes</t>
  </si>
  <si>
    <t>Supervisor de Almoxarifado e Apoio</t>
  </si>
  <si>
    <t>Luis Fernando Baldissera</t>
  </si>
  <si>
    <t>Suzana Rahde Gerchmann</t>
  </si>
  <si>
    <t>Elaine Aparecida Schaurich</t>
  </si>
  <si>
    <t>Bianca Teixeira Serafim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</si>
  <si>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</si>
  <si>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</si>
  <si>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</si>
  <si>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</si>
  <si>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</si>
  <si>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</si>
  <si>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</si>
  <si>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Gerente de Atendimento e Fiscalização</t>
  </si>
  <si>
    <t>Supervisora de Fiscalização</t>
  </si>
  <si>
    <t>Coordenadora de Atendimento, PF e PJ</t>
  </si>
  <si>
    <t>Coordenador Jurídico</t>
  </si>
  <si>
    <t>Coordenadora de Comunicação</t>
  </si>
  <si>
    <t>Supervisor de Licitações e Compras</t>
  </si>
  <si>
    <t>SALÁRIO BÁSICO</t>
  </si>
  <si>
    <t>CARGO</t>
  </si>
  <si>
    <t>FÉRIAS + 1/3</t>
  </si>
  <si>
    <t>GRATIFI-CAÇÃO</t>
  </si>
  <si>
    <t>VALE REFEIÇÃO</t>
  </si>
  <si>
    <t>VALE TRANSPORTE</t>
  </si>
  <si>
    <t>HORAS EXTRAS</t>
  </si>
  <si>
    <t>I.N.S.S.</t>
  </si>
  <si>
    <t>FALTAS</t>
  </si>
  <si>
    <t>DESC. VALE REFEIÇÃO</t>
  </si>
  <si>
    <t>DESC. VALE TRANSPORTE</t>
  </si>
  <si>
    <t>LÍQUIDO FÉRIAS</t>
  </si>
  <si>
    <t>Rosana Maria Marzenbacher</t>
  </si>
  <si>
    <t>Cleci Luciano Bargas</t>
  </si>
  <si>
    <t>Gerente Jurídico</t>
  </si>
  <si>
    <t>Amanda Elisa Barros Gehrke</t>
  </si>
  <si>
    <t>Cezar Eduardo Rieger</t>
  </si>
  <si>
    <t>Eduardo Meira Pilau</t>
  </si>
  <si>
    <t>I.R.R.F.</t>
  </si>
  <si>
    <t>AUXÍLIO CRECHE</t>
  </si>
  <si>
    <t>DESC. CONV. MÉDICO</t>
  </si>
  <si>
    <t xml:space="preserve">TOTAL  </t>
  </si>
  <si>
    <t>Clarissa Wolff Pierry</t>
  </si>
  <si>
    <t>Cristina Espindola Romor Vargas</t>
  </si>
  <si>
    <t>Luciano Antunes de Oliveira</t>
  </si>
  <si>
    <t>Gerente de Comunicação</t>
  </si>
  <si>
    <t>Sandra Maria de Freitas Carvalho</t>
  </si>
  <si>
    <t>Secretária Geral da Mesa</t>
  </si>
  <si>
    <t>Supervisora de Ética</t>
  </si>
  <si>
    <t>Coordenador de Planejamento</t>
  </si>
  <si>
    <t>FOLHA DE PAGAMENTO - ABRIL 2018</t>
  </si>
  <si>
    <t>Gelson Luiz Benatti</t>
  </si>
  <si>
    <t>Gerente de Planejamento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</si>
</sst>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center"/>
    </xf>
    <xf numFmtId="44" fontId="0" fillId="2" borderId="2" xfId="0" applyNumberFormat="1" applyFont="1" applyFill="1" applyBorder="1" applyAlignment="1">
      <alignment horizontal="left"/>
    </xf>
    <xf numFmtId="44" fontId="0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44" fontId="0" fillId="2" borderId="1" xfId="1" applyFont="1" applyFill="1" applyBorder="1"/>
    <xf numFmtId="44" fontId="0" fillId="2" borderId="2" xfId="1" applyFont="1" applyFill="1" applyBorder="1"/>
    <xf numFmtId="44" fontId="0" fillId="2" borderId="2" xfId="1" applyFont="1" applyFill="1" applyBorder="1" applyAlignment="1">
      <alignment horizontal="left"/>
    </xf>
    <xf numFmtId="44" fontId="0" fillId="2" borderId="1" xfId="1" applyFont="1" applyFill="1" applyBorder="1" applyAlignment="1">
      <alignment horizontal="left"/>
    </xf>
    <xf numFmtId="44" fontId="0" fillId="2" borderId="4" xfId="0" applyNumberFormat="1" applyFont="1" applyFill="1" applyBorder="1" applyAlignment="1">
      <alignment horizontal="left"/>
    </xf>
    <xf numFmtId="164" fontId="0" fillId="2" borderId="2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44" fontId="3" fillId="2" borderId="2" xfId="0" applyNumberFormat="1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center"/>
    </xf>
    <xf numFmtId="44" fontId="0" fillId="2" borderId="5" xfId="0" applyNumberFormat="1" applyFont="1" applyFill="1" applyBorder="1" applyAlignment="1">
      <alignment horizontal="left"/>
    </xf>
    <xf numFmtId="164" fontId="0" fillId="2" borderId="4" xfId="0" applyNumberFormat="1" applyFont="1" applyFill="1" applyBorder="1" applyAlignment="1">
      <alignment horizontal="right"/>
    </xf>
    <xf numFmtId="0" fontId="0" fillId="2" borderId="1" xfId="0" applyFill="1" applyBorder="1"/>
    <xf numFmtId="0" fontId="0" fillId="2" borderId="0" xfId="0" applyFill="1" applyBorder="1"/>
    <xf numFmtId="164" fontId="0" fillId="2" borderId="1" xfId="0" applyNumberFormat="1" applyFont="1" applyFill="1" applyBorder="1"/>
    <xf numFmtId="44" fontId="0" fillId="2" borderId="1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I62"/>
  <sheetViews>
    <sheetView tabSelected="1" topLeftCell="A13" zoomScaleNormal="100" workbookViewId="0">
      <selection activeCell="S30" sqref="S30"/>
    </sheetView>
  </sheetViews>
  <sheetFormatPr defaultColWidth="73" defaultRowHeight="15" x14ac:dyDescent="0.25"/>
  <cols>
    <col min="1" max="1" width="38.5703125" style="1" bestFit="1" customWidth="1"/>
    <col min="2" max="2" width="45.5703125" style="1" bestFit="1" customWidth="1"/>
    <col min="3" max="3" width="12.7109375" style="1" bestFit="1" customWidth="1"/>
    <col min="4" max="4" width="13.28515625" style="1" customWidth="1"/>
    <col min="5" max="5" width="13.28515625" style="1" bestFit="1" customWidth="1"/>
    <col min="6" max="6" width="12.140625" style="1" bestFit="1" customWidth="1"/>
    <col min="7" max="7" width="13.140625" style="1" customWidth="1"/>
    <col min="8" max="8" width="12.140625" style="1" bestFit="1" customWidth="1"/>
    <col min="9" max="9" width="13.28515625" style="1" bestFit="1" customWidth="1"/>
    <col min="10" max="10" width="15.42578125" style="1" customWidth="1"/>
    <col min="11" max="11" width="13.28515625" style="1" bestFit="1" customWidth="1"/>
    <col min="12" max="12" width="12.140625" style="1" bestFit="1" customWidth="1"/>
    <col min="13" max="13" width="12.28515625" style="1" customWidth="1"/>
    <col min="14" max="14" width="12.5703125" style="1" customWidth="1"/>
    <col min="15" max="15" width="12.7109375" style="1" customWidth="1"/>
    <col min="16" max="16" width="12.5703125" style="1" customWidth="1"/>
    <col min="17" max="18" width="13.28515625" style="1" bestFit="1" customWidth="1"/>
    <col min="19" max="19" width="17" style="1" customWidth="1"/>
    <col min="20" max="16384" width="73" style="1"/>
  </cols>
  <sheetData>
    <row r="3" spans="1:19" ht="21" x14ac:dyDescent="0.35">
      <c r="A3" s="30" t="s">
        <v>100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.75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35.25" customHeight="1" thickBot="1" x14ac:dyDescent="0.3">
      <c r="A5" s="2" t="s">
        <v>40</v>
      </c>
      <c r="B5" s="2" t="s">
        <v>71</v>
      </c>
      <c r="C5" s="3" t="s">
        <v>70</v>
      </c>
      <c r="D5" s="3" t="s">
        <v>72</v>
      </c>
      <c r="E5" s="3" t="s">
        <v>73</v>
      </c>
      <c r="F5" s="3" t="s">
        <v>74</v>
      </c>
      <c r="G5" s="4" t="s">
        <v>75</v>
      </c>
      <c r="H5" s="3" t="s">
        <v>76</v>
      </c>
      <c r="I5" s="3" t="s">
        <v>62</v>
      </c>
      <c r="J5" s="3" t="s">
        <v>77</v>
      </c>
      <c r="K5" s="3" t="s">
        <v>88</v>
      </c>
      <c r="L5" s="3" t="s">
        <v>78</v>
      </c>
      <c r="M5" s="3" t="s">
        <v>79</v>
      </c>
      <c r="N5" s="3" t="s">
        <v>80</v>
      </c>
      <c r="O5" s="3" t="s">
        <v>90</v>
      </c>
      <c r="P5" s="3" t="s">
        <v>89</v>
      </c>
      <c r="Q5" s="3" t="s">
        <v>81</v>
      </c>
      <c r="R5" s="3" t="s">
        <v>41</v>
      </c>
      <c r="S5" s="3" t="s">
        <v>42</v>
      </c>
    </row>
    <row r="6" spans="1:19" x14ac:dyDescent="0.25">
      <c r="A6" s="5" t="s">
        <v>28</v>
      </c>
      <c r="B6" s="6" t="s">
        <v>29</v>
      </c>
      <c r="C6" s="7">
        <v>2145.02</v>
      </c>
      <c r="D6" s="8">
        <f>238.34+80.8+1.81+1.61+0.66</f>
        <v>323.22000000000003</v>
      </c>
      <c r="E6" s="8">
        <v>0</v>
      </c>
      <c r="F6" s="8">
        <v>698.1</v>
      </c>
      <c r="G6" s="8">
        <v>172</v>
      </c>
      <c r="H6" s="8">
        <f>0.1+0.82</f>
        <v>0.91999999999999993</v>
      </c>
      <c r="I6" s="18">
        <f>C6+D6+E6+H6</f>
        <v>2469.16</v>
      </c>
      <c r="J6" s="8">
        <f>196.72+25.86</f>
        <v>222.57999999999998</v>
      </c>
      <c r="K6" s="8">
        <v>0</v>
      </c>
      <c r="L6" s="8">
        <v>0</v>
      </c>
      <c r="M6" s="8">
        <v>33.39</v>
      </c>
      <c r="N6" s="8">
        <v>143</v>
      </c>
      <c r="O6" s="8">
        <v>28</v>
      </c>
      <c r="P6" s="8">
        <v>0</v>
      </c>
      <c r="Q6" s="8">
        <v>297.36</v>
      </c>
      <c r="R6" s="9">
        <f>J6+K6+L6+M6+N6+O6+Q6</f>
        <v>724.32999999999993</v>
      </c>
      <c r="S6" s="9">
        <f>I6-R6</f>
        <v>1744.83</v>
      </c>
    </row>
    <row r="7" spans="1:19" x14ac:dyDescent="0.25">
      <c r="A7" s="10" t="s">
        <v>6</v>
      </c>
      <c r="B7" s="11" t="s">
        <v>84</v>
      </c>
      <c r="C7" s="7">
        <v>4556.47</v>
      </c>
      <c r="D7" s="8">
        <f>911.19+701.69+2105.38+1338.84+64.24+53.55+23.56</f>
        <v>5198.4500000000007</v>
      </c>
      <c r="E7" s="9">
        <f>2964+4940</f>
        <v>7904</v>
      </c>
      <c r="F7" s="8">
        <v>698.1</v>
      </c>
      <c r="G7" s="9">
        <v>0</v>
      </c>
      <c r="H7" s="8">
        <v>0</v>
      </c>
      <c r="I7" s="18">
        <f t="shared" ref="I7:I61" si="0">C7+D7+E7+H7</f>
        <v>17658.920000000002</v>
      </c>
      <c r="J7" s="8">
        <f>31.94+589.09</f>
        <v>621.03000000000009</v>
      </c>
      <c r="K7" s="8">
        <f>1733.39+441.37</f>
        <v>2174.7600000000002</v>
      </c>
      <c r="L7" s="8">
        <v>0</v>
      </c>
      <c r="M7" s="8">
        <v>33.39</v>
      </c>
      <c r="N7" s="8">
        <v>0</v>
      </c>
      <c r="O7" s="8">
        <v>37.04</v>
      </c>
      <c r="P7" s="8">
        <v>0</v>
      </c>
      <c r="Q7" s="8">
        <v>7131.99</v>
      </c>
      <c r="R7" s="9">
        <f t="shared" ref="R7:R61" si="1">J7+K7+L7+M7+N7+O7+Q7</f>
        <v>9998.2099999999991</v>
      </c>
      <c r="S7" s="9">
        <f>I7-R7</f>
        <v>7660.7100000000028</v>
      </c>
    </row>
    <row r="8" spans="1:19" x14ac:dyDescent="0.25">
      <c r="A8" s="10" t="s">
        <v>85</v>
      </c>
      <c r="B8" s="11" t="s">
        <v>13</v>
      </c>
      <c r="C8" s="7">
        <v>8212.15</v>
      </c>
      <c r="D8" s="8">
        <v>0</v>
      </c>
      <c r="E8" s="8">
        <v>0</v>
      </c>
      <c r="F8" s="8">
        <v>377.04</v>
      </c>
      <c r="G8" s="8">
        <v>0</v>
      </c>
      <c r="H8" s="8">
        <f>30.8+6.16</f>
        <v>36.96</v>
      </c>
      <c r="I8" s="18">
        <f t="shared" si="0"/>
        <v>8249.1099999999988</v>
      </c>
      <c r="J8" s="8">
        <v>621.03</v>
      </c>
      <c r="K8" s="8">
        <v>1228.3599999999999</v>
      </c>
      <c r="L8" s="8">
        <v>0</v>
      </c>
      <c r="M8" s="20">
        <v>17.489999999999998</v>
      </c>
      <c r="N8" s="8">
        <v>0</v>
      </c>
      <c r="O8" s="8">
        <f>32.21+39.65</f>
        <v>71.86</v>
      </c>
      <c r="P8" s="8">
        <v>0</v>
      </c>
      <c r="Q8" s="8">
        <v>0</v>
      </c>
      <c r="R8" s="9">
        <f t="shared" si="1"/>
        <v>1938.7399999999998</v>
      </c>
      <c r="S8" s="9">
        <f>I8-R8</f>
        <v>6310.369999999999</v>
      </c>
    </row>
    <row r="9" spans="1:19" x14ac:dyDescent="0.25">
      <c r="A9" s="10" t="s">
        <v>12</v>
      </c>
      <c r="B9" s="11" t="s">
        <v>13</v>
      </c>
      <c r="C9" s="7">
        <v>2876.03</v>
      </c>
      <c r="D9" s="8">
        <f>5751.64+1972.66+111.3+25.8+1.84+27.42</f>
        <v>7890.6600000000008</v>
      </c>
      <c r="E9" s="8">
        <v>0</v>
      </c>
      <c r="F9" s="8">
        <v>666.28</v>
      </c>
      <c r="G9" s="8">
        <v>0</v>
      </c>
      <c r="H9" s="8">
        <f>32.35+6.47</f>
        <v>38.82</v>
      </c>
      <c r="I9" s="18">
        <f t="shared" si="0"/>
        <v>10805.51</v>
      </c>
      <c r="J9" s="8">
        <v>621.03</v>
      </c>
      <c r="K9" s="8">
        <f>82.43+1129.79</f>
        <v>1212.22</v>
      </c>
      <c r="L9" s="8">
        <v>0</v>
      </c>
      <c r="M9" s="20">
        <v>31.8</v>
      </c>
      <c r="N9" s="8">
        <v>0</v>
      </c>
      <c r="O9" s="8">
        <v>28</v>
      </c>
      <c r="P9" s="8">
        <v>0</v>
      </c>
      <c r="Q9" s="8">
        <v>6139.84</v>
      </c>
      <c r="R9" s="9">
        <f t="shared" si="1"/>
        <v>8032.89</v>
      </c>
      <c r="S9" s="9">
        <f>I9-R9</f>
        <v>2772.62</v>
      </c>
    </row>
    <row r="10" spans="1:19" x14ac:dyDescent="0.25">
      <c r="A10" s="10" t="s">
        <v>56</v>
      </c>
      <c r="B10" s="11" t="s">
        <v>11</v>
      </c>
      <c r="C10" s="7">
        <v>2268.5500000000002</v>
      </c>
      <c r="D10" s="8">
        <v>0</v>
      </c>
      <c r="E10" s="9">
        <v>0</v>
      </c>
      <c r="F10" s="8">
        <v>698.1</v>
      </c>
      <c r="G10" s="9">
        <v>376</v>
      </c>
      <c r="H10" s="8">
        <v>0</v>
      </c>
      <c r="I10" s="18">
        <f t="shared" si="0"/>
        <v>2268.5500000000002</v>
      </c>
      <c r="J10" s="8">
        <v>204.16</v>
      </c>
      <c r="K10" s="8">
        <v>12.03</v>
      </c>
      <c r="L10" s="8">
        <v>0</v>
      </c>
      <c r="M10" s="8">
        <v>33.39</v>
      </c>
      <c r="N10" s="8">
        <v>136.11000000000001</v>
      </c>
      <c r="O10" s="8">
        <f>24.35+39.65</f>
        <v>64</v>
      </c>
      <c r="P10" s="8">
        <v>0</v>
      </c>
      <c r="Q10" s="8">
        <v>0</v>
      </c>
      <c r="R10" s="9">
        <f t="shared" si="1"/>
        <v>449.69</v>
      </c>
      <c r="S10" s="9">
        <f>I10-R10</f>
        <v>1818.8600000000001</v>
      </c>
    </row>
    <row r="11" spans="1:19" x14ac:dyDescent="0.25">
      <c r="A11" s="10" t="s">
        <v>25</v>
      </c>
      <c r="B11" s="11" t="s">
        <v>16</v>
      </c>
      <c r="C11" s="7">
        <v>5467.66</v>
      </c>
      <c r="D11" s="8">
        <v>0</v>
      </c>
      <c r="E11" s="9">
        <v>0</v>
      </c>
      <c r="F11" s="8">
        <v>698.1</v>
      </c>
      <c r="G11" s="9">
        <v>0</v>
      </c>
      <c r="H11" s="8">
        <v>0</v>
      </c>
      <c r="I11" s="18">
        <f t="shared" si="0"/>
        <v>5467.66</v>
      </c>
      <c r="J11" s="8">
        <v>595.78</v>
      </c>
      <c r="K11" s="8">
        <v>456.27</v>
      </c>
      <c r="L11" s="8">
        <v>51.4</v>
      </c>
      <c r="M11" s="8">
        <v>33.39</v>
      </c>
      <c r="N11" s="8">
        <v>0</v>
      </c>
      <c r="O11" s="8">
        <v>32.21</v>
      </c>
      <c r="P11" s="8">
        <v>0</v>
      </c>
      <c r="Q11" s="8">
        <v>0</v>
      </c>
      <c r="R11" s="9">
        <f t="shared" si="1"/>
        <v>1169.0500000000002</v>
      </c>
      <c r="S11" s="9">
        <f t="shared" ref="S11:S23" si="2">I11-R11</f>
        <v>4298.6099999999997</v>
      </c>
    </row>
    <row r="12" spans="1:19" x14ac:dyDescent="0.25">
      <c r="A12" s="10" t="s">
        <v>18</v>
      </c>
      <c r="B12" s="11" t="s">
        <v>19</v>
      </c>
      <c r="C12" s="7">
        <v>5467.66</v>
      </c>
      <c r="D12" s="8">
        <f>92.05</f>
        <v>92.05</v>
      </c>
      <c r="E12" s="9">
        <v>0</v>
      </c>
      <c r="F12" s="8">
        <v>698.1</v>
      </c>
      <c r="G12" s="9">
        <v>0</v>
      </c>
      <c r="H12" s="8">
        <f>3.83+476.43+96.05</f>
        <v>576.30999999999995</v>
      </c>
      <c r="I12" s="18">
        <f t="shared" si="0"/>
        <v>6136.02</v>
      </c>
      <c r="J12" s="8">
        <v>621.03</v>
      </c>
      <c r="K12" s="8">
        <v>621.95000000000005</v>
      </c>
      <c r="L12" s="8">
        <v>0</v>
      </c>
      <c r="M12" s="8">
        <v>33.39</v>
      </c>
      <c r="N12" s="8">
        <v>0</v>
      </c>
      <c r="O12" s="8">
        <f>37.04+39.65</f>
        <v>76.69</v>
      </c>
      <c r="P12" s="8">
        <v>0</v>
      </c>
      <c r="Q12" s="8">
        <v>0</v>
      </c>
      <c r="R12" s="9">
        <f t="shared" si="1"/>
        <v>1353.0600000000002</v>
      </c>
      <c r="S12" s="9">
        <f t="shared" si="2"/>
        <v>4782.96</v>
      </c>
    </row>
    <row r="13" spans="1:19" x14ac:dyDescent="0.25">
      <c r="A13" s="10" t="s">
        <v>3</v>
      </c>
      <c r="B13" s="11" t="s">
        <v>4</v>
      </c>
      <c r="C13" s="7">
        <v>11395.69</v>
      </c>
      <c r="D13" s="8">
        <v>0</v>
      </c>
      <c r="E13" s="9">
        <v>0</v>
      </c>
      <c r="F13" s="8">
        <v>698.1</v>
      </c>
      <c r="G13" s="9">
        <v>0</v>
      </c>
      <c r="H13" s="8">
        <v>0</v>
      </c>
      <c r="I13" s="18">
        <f t="shared" si="0"/>
        <v>11395.69</v>
      </c>
      <c r="J13" s="8">
        <v>621.03</v>
      </c>
      <c r="K13" s="8">
        <v>2093.67</v>
      </c>
      <c r="L13" s="8">
        <v>0</v>
      </c>
      <c r="M13" s="8">
        <v>33.39</v>
      </c>
      <c r="N13" s="8">
        <v>0</v>
      </c>
      <c r="O13" s="8">
        <v>51.99</v>
      </c>
      <c r="P13" s="8">
        <v>0</v>
      </c>
      <c r="Q13" s="8">
        <v>0</v>
      </c>
      <c r="R13" s="9">
        <f t="shared" si="1"/>
        <v>2800.0799999999995</v>
      </c>
      <c r="S13" s="9">
        <f t="shared" si="2"/>
        <v>8595.61</v>
      </c>
    </row>
    <row r="14" spans="1:19" x14ac:dyDescent="0.25">
      <c r="A14" s="10" t="s">
        <v>20</v>
      </c>
      <c r="B14" s="11" t="s">
        <v>13</v>
      </c>
      <c r="C14" s="7">
        <v>8627.67</v>
      </c>
      <c r="D14" s="8">
        <v>0</v>
      </c>
      <c r="E14" s="9">
        <v>0</v>
      </c>
      <c r="F14" s="8">
        <v>698.1</v>
      </c>
      <c r="G14" s="9">
        <v>0</v>
      </c>
      <c r="H14" s="8">
        <v>0</v>
      </c>
      <c r="I14" s="18">
        <f t="shared" si="0"/>
        <v>8627.67</v>
      </c>
      <c r="J14" s="8">
        <v>621.03</v>
      </c>
      <c r="K14" s="8">
        <v>1330.33</v>
      </c>
      <c r="L14" s="8">
        <v>7.76</v>
      </c>
      <c r="M14" s="8">
        <v>33.39</v>
      </c>
      <c r="N14" s="8">
        <v>0</v>
      </c>
      <c r="O14" s="8">
        <v>37.04</v>
      </c>
      <c r="P14" s="8">
        <v>0</v>
      </c>
      <c r="Q14" s="8">
        <v>0</v>
      </c>
      <c r="R14" s="9">
        <f t="shared" si="1"/>
        <v>2029.55</v>
      </c>
      <c r="S14" s="9">
        <f t="shared" si="2"/>
        <v>6598.12</v>
      </c>
    </row>
    <row r="15" spans="1:19" x14ac:dyDescent="0.25">
      <c r="A15" s="10" t="s">
        <v>86</v>
      </c>
      <c r="B15" s="11" t="s">
        <v>67</v>
      </c>
      <c r="C15" s="7">
        <v>7197.28</v>
      </c>
      <c r="D15" s="8">
        <v>0</v>
      </c>
      <c r="E15" s="9">
        <v>0</v>
      </c>
      <c r="F15" s="8">
        <v>698.1</v>
      </c>
      <c r="G15" s="9">
        <v>0</v>
      </c>
      <c r="H15" s="8">
        <f>256.94+450.82+141.55</f>
        <v>849.31</v>
      </c>
      <c r="I15" s="18">
        <f t="shared" si="0"/>
        <v>8046.59</v>
      </c>
      <c r="J15" s="8">
        <v>621.03</v>
      </c>
      <c r="K15" s="8">
        <v>1172.67</v>
      </c>
      <c r="L15" s="8">
        <v>0</v>
      </c>
      <c r="M15" s="8">
        <v>33.39</v>
      </c>
      <c r="N15" s="8">
        <v>0</v>
      </c>
      <c r="O15" s="8">
        <v>67.599999999999994</v>
      </c>
      <c r="P15" s="8">
        <v>0</v>
      </c>
      <c r="Q15" s="8">
        <v>0</v>
      </c>
      <c r="R15" s="9">
        <f t="shared" si="1"/>
        <v>1894.69</v>
      </c>
      <c r="S15" s="9">
        <f t="shared" si="2"/>
        <v>6151.9</v>
      </c>
    </row>
    <row r="16" spans="1:19" x14ac:dyDescent="0.25">
      <c r="A16" s="10" t="s">
        <v>1</v>
      </c>
      <c r="B16" s="11" t="s">
        <v>2</v>
      </c>
      <c r="C16" s="7">
        <v>11395.69</v>
      </c>
      <c r="D16" s="8">
        <v>0</v>
      </c>
      <c r="E16" s="9">
        <v>0</v>
      </c>
      <c r="F16" s="8">
        <v>698.1</v>
      </c>
      <c r="G16" s="9">
        <v>0</v>
      </c>
      <c r="H16" s="8">
        <v>0</v>
      </c>
      <c r="I16" s="18">
        <f t="shared" si="0"/>
        <v>11395.69</v>
      </c>
      <c r="J16" s="8">
        <v>621.03</v>
      </c>
      <c r="K16" s="8">
        <v>2093.67</v>
      </c>
      <c r="L16" s="8">
        <v>0</v>
      </c>
      <c r="M16" s="8">
        <v>33.39</v>
      </c>
      <c r="N16" s="8">
        <v>0</v>
      </c>
      <c r="O16" s="8">
        <v>37.04</v>
      </c>
      <c r="P16" s="8">
        <v>0</v>
      </c>
      <c r="Q16" s="8">
        <v>0</v>
      </c>
      <c r="R16" s="9">
        <f t="shared" si="1"/>
        <v>2785.1299999999997</v>
      </c>
      <c r="S16" s="9">
        <f t="shared" si="2"/>
        <v>8610.5600000000013</v>
      </c>
    </row>
    <row r="17" spans="1:20" x14ac:dyDescent="0.25">
      <c r="A17" s="10" t="s">
        <v>15</v>
      </c>
      <c r="B17" s="11" t="s">
        <v>16</v>
      </c>
      <c r="C17" s="7">
        <v>5467.66</v>
      </c>
      <c r="D17" s="8">
        <v>0</v>
      </c>
      <c r="E17" s="9">
        <v>0</v>
      </c>
      <c r="F17" s="8">
        <v>684.3</v>
      </c>
      <c r="G17" s="9">
        <v>0</v>
      </c>
      <c r="H17" s="8">
        <v>0</v>
      </c>
      <c r="I17" s="18">
        <f t="shared" si="0"/>
        <v>5467.66</v>
      </c>
      <c r="J17" s="8">
        <v>601.44000000000005</v>
      </c>
      <c r="K17" s="8">
        <v>416.71</v>
      </c>
      <c r="L17" s="8">
        <v>0</v>
      </c>
      <c r="M17" s="8">
        <v>33.39</v>
      </c>
      <c r="N17" s="13">
        <v>0</v>
      </c>
      <c r="O17" s="14">
        <f>32.21+178.44</f>
        <v>210.65</v>
      </c>
      <c r="P17" s="14">
        <v>0</v>
      </c>
      <c r="Q17" s="8">
        <v>0</v>
      </c>
      <c r="R17" s="9">
        <f t="shared" si="1"/>
        <v>1262.1900000000003</v>
      </c>
      <c r="S17" s="9">
        <f t="shared" si="2"/>
        <v>4205.4699999999993</v>
      </c>
    </row>
    <row r="18" spans="1:20" x14ac:dyDescent="0.25">
      <c r="A18" s="10" t="s">
        <v>92</v>
      </c>
      <c r="B18" s="11" t="s">
        <v>13</v>
      </c>
      <c r="C18" s="7">
        <v>8212.15</v>
      </c>
      <c r="D18" s="8">
        <v>0</v>
      </c>
      <c r="E18" s="9">
        <v>0</v>
      </c>
      <c r="F18" s="8">
        <v>286.45999999999998</v>
      </c>
      <c r="G18" s="9">
        <v>0</v>
      </c>
      <c r="H18" s="8">
        <f>390.08+549.38+187.89</f>
        <v>1127.3499999999999</v>
      </c>
      <c r="I18" s="18">
        <f t="shared" si="0"/>
        <v>9339.5</v>
      </c>
      <c r="J18" s="8">
        <v>621.03</v>
      </c>
      <c r="K18" s="8">
        <v>1528.22</v>
      </c>
      <c r="L18" s="8">
        <v>0</v>
      </c>
      <c r="M18" s="20">
        <v>14.31</v>
      </c>
      <c r="N18" s="13">
        <v>0</v>
      </c>
      <c r="O18" s="14">
        <v>32.21</v>
      </c>
      <c r="P18" s="14">
        <v>0</v>
      </c>
      <c r="Q18" s="8">
        <v>0</v>
      </c>
      <c r="R18" s="9">
        <f t="shared" si="1"/>
        <v>2195.77</v>
      </c>
      <c r="S18" s="9">
        <f t="shared" si="2"/>
        <v>7143.73</v>
      </c>
      <c r="T18" s="27"/>
    </row>
    <row r="19" spans="1:20" x14ac:dyDescent="0.25">
      <c r="A19" s="10" t="s">
        <v>30</v>
      </c>
      <c r="B19" s="11" t="s">
        <v>19</v>
      </c>
      <c r="C19" s="7">
        <v>5467.66</v>
      </c>
      <c r="D19" s="8">
        <v>0</v>
      </c>
      <c r="E19" s="9">
        <v>0</v>
      </c>
      <c r="F19" s="8">
        <v>698.1</v>
      </c>
      <c r="G19" s="9">
        <v>308.7</v>
      </c>
      <c r="H19" s="8">
        <v>0</v>
      </c>
      <c r="I19" s="18">
        <f t="shared" si="0"/>
        <v>5467.66</v>
      </c>
      <c r="J19" s="8">
        <v>596.99</v>
      </c>
      <c r="K19" s="8">
        <v>408.01</v>
      </c>
      <c r="L19" s="8">
        <v>40.46</v>
      </c>
      <c r="M19" s="8">
        <v>33.39</v>
      </c>
      <c r="N19" s="9">
        <v>308.7</v>
      </c>
      <c r="O19" s="15">
        <v>28</v>
      </c>
      <c r="P19" s="8">
        <v>0</v>
      </c>
      <c r="Q19" s="8">
        <v>0</v>
      </c>
      <c r="R19" s="9">
        <f t="shared" si="1"/>
        <v>1415.5500000000002</v>
      </c>
      <c r="S19" s="9">
        <f t="shared" si="2"/>
        <v>4052.1099999999997</v>
      </c>
      <c r="T19" s="27"/>
    </row>
    <row r="20" spans="1:20" x14ac:dyDescent="0.25">
      <c r="A20" s="10" t="s">
        <v>83</v>
      </c>
      <c r="B20" s="11" t="s">
        <v>11</v>
      </c>
      <c r="C20" s="7">
        <v>2268.5500000000002</v>
      </c>
      <c r="D20" s="8">
        <v>0</v>
      </c>
      <c r="E20" s="9">
        <v>0</v>
      </c>
      <c r="F20" s="8">
        <v>698.1</v>
      </c>
      <c r="G20" s="9">
        <v>180.6</v>
      </c>
      <c r="H20" s="8">
        <v>0</v>
      </c>
      <c r="I20" s="18">
        <f t="shared" si="0"/>
        <v>2268.5500000000002</v>
      </c>
      <c r="J20" s="8">
        <v>204.16</v>
      </c>
      <c r="K20" s="8">
        <v>12.03</v>
      </c>
      <c r="L20" s="8">
        <v>0</v>
      </c>
      <c r="M20" s="8">
        <v>33.39</v>
      </c>
      <c r="N20" s="8">
        <v>136.11000000000001</v>
      </c>
      <c r="O20" s="15">
        <f>67.6+39.65</f>
        <v>107.25</v>
      </c>
      <c r="P20" s="8">
        <v>0</v>
      </c>
      <c r="Q20" s="8">
        <v>0</v>
      </c>
      <c r="R20" s="9">
        <f t="shared" si="1"/>
        <v>492.94</v>
      </c>
      <c r="S20" s="9">
        <f t="shared" si="2"/>
        <v>1775.6100000000001</v>
      </c>
      <c r="T20" s="27"/>
    </row>
    <row r="21" spans="1:20" x14ac:dyDescent="0.25">
      <c r="A21" s="10" t="s">
        <v>93</v>
      </c>
      <c r="B21" s="11" t="s">
        <v>16</v>
      </c>
      <c r="C21" s="7">
        <v>5201.26</v>
      </c>
      <c r="D21" s="8">
        <v>0</v>
      </c>
      <c r="E21" s="9">
        <v>0</v>
      </c>
      <c r="F21" s="8">
        <v>668.43</v>
      </c>
      <c r="G21" s="9">
        <v>180.6</v>
      </c>
      <c r="H21" s="8">
        <v>0</v>
      </c>
      <c r="I21" s="18">
        <f t="shared" si="0"/>
        <v>5201.26</v>
      </c>
      <c r="J21" s="8">
        <v>570.5</v>
      </c>
      <c r="K21" s="8">
        <v>402.46</v>
      </c>
      <c r="L21" s="8">
        <v>14.82</v>
      </c>
      <c r="M21" s="8">
        <v>33.39</v>
      </c>
      <c r="N21" s="8">
        <v>180.6</v>
      </c>
      <c r="O21" s="15">
        <v>51.99</v>
      </c>
      <c r="P21" s="8">
        <v>0</v>
      </c>
      <c r="Q21" s="8">
        <v>0</v>
      </c>
      <c r="R21" s="9">
        <f t="shared" si="1"/>
        <v>1253.76</v>
      </c>
      <c r="S21" s="9">
        <f t="shared" si="2"/>
        <v>3947.5</v>
      </c>
      <c r="T21" s="27"/>
    </row>
    <row r="22" spans="1:20" x14ac:dyDescent="0.25">
      <c r="A22" s="10" t="s">
        <v>37</v>
      </c>
      <c r="B22" s="11" t="s">
        <v>19</v>
      </c>
      <c r="C22" s="7">
        <f>3538.85+85.2</f>
        <v>3624.0499999999997</v>
      </c>
      <c r="D22" s="8">
        <f>1769.56+597.71+14.6+5+0.07+3.92</f>
        <v>2390.86</v>
      </c>
      <c r="E22" s="9">
        <v>0</v>
      </c>
      <c r="F22" s="8">
        <v>698.1</v>
      </c>
      <c r="G22" s="9">
        <v>0</v>
      </c>
      <c r="H22" s="8">
        <f>138.95+27.79</f>
        <v>166.73999999999998</v>
      </c>
      <c r="I22" s="18">
        <f t="shared" si="0"/>
        <v>6181.65</v>
      </c>
      <c r="J22" s="8">
        <f>405.86+215.17</f>
        <v>621.03</v>
      </c>
      <c r="K22" s="8">
        <f>140.16+20.38</f>
        <v>160.54</v>
      </c>
      <c r="L22" s="8">
        <v>0</v>
      </c>
      <c r="M22" s="8">
        <v>33.39</v>
      </c>
      <c r="N22" s="8">
        <v>0</v>
      </c>
      <c r="O22" s="15">
        <f>67.6+49.57</f>
        <v>117.16999999999999</v>
      </c>
      <c r="P22" s="8">
        <v>0</v>
      </c>
      <c r="Q22" s="8">
        <v>2155.31</v>
      </c>
      <c r="R22" s="9">
        <f t="shared" si="1"/>
        <v>3087.4399999999996</v>
      </c>
      <c r="S22" s="9">
        <f t="shared" si="2"/>
        <v>3094.21</v>
      </c>
      <c r="T22" s="27"/>
    </row>
    <row r="23" spans="1:20" x14ac:dyDescent="0.25">
      <c r="A23" s="10" t="s">
        <v>87</v>
      </c>
      <c r="B23" s="11" t="s">
        <v>11</v>
      </c>
      <c r="C23" s="7">
        <v>2268.5500000000002</v>
      </c>
      <c r="D23" s="8">
        <v>0</v>
      </c>
      <c r="E23" s="9">
        <v>0</v>
      </c>
      <c r="F23" s="8">
        <v>698.1</v>
      </c>
      <c r="G23" s="9">
        <v>0</v>
      </c>
      <c r="H23" s="8">
        <v>0</v>
      </c>
      <c r="I23" s="18">
        <f t="shared" si="0"/>
        <v>2268.5500000000002</v>
      </c>
      <c r="J23" s="8">
        <v>204.16</v>
      </c>
      <c r="K23" s="8">
        <v>12.03</v>
      </c>
      <c r="L23" s="8">
        <v>0</v>
      </c>
      <c r="M23" s="8">
        <v>33.39</v>
      </c>
      <c r="N23" s="8">
        <v>0</v>
      </c>
      <c r="O23" s="15">
        <v>37.04</v>
      </c>
      <c r="P23" s="8">
        <v>0</v>
      </c>
      <c r="Q23" s="8">
        <v>0</v>
      </c>
      <c r="R23" s="9">
        <f t="shared" si="1"/>
        <v>286.62</v>
      </c>
      <c r="S23" s="9">
        <f t="shared" si="2"/>
        <v>1981.9300000000003</v>
      </c>
      <c r="T23" s="27"/>
    </row>
    <row r="24" spans="1:20" x14ac:dyDescent="0.25">
      <c r="A24" s="10" t="s">
        <v>43</v>
      </c>
      <c r="B24" s="11" t="s">
        <v>11</v>
      </c>
      <c r="C24" s="7">
        <v>2268.5500000000002</v>
      </c>
      <c r="D24" s="8">
        <v>0</v>
      </c>
      <c r="E24" s="9">
        <v>0</v>
      </c>
      <c r="F24" s="8">
        <v>698.1</v>
      </c>
      <c r="G24" s="9">
        <v>598.5</v>
      </c>
      <c r="H24" s="8">
        <f>8.17+1.63</f>
        <v>9.8000000000000007</v>
      </c>
      <c r="I24" s="18">
        <f t="shared" si="0"/>
        <v>2278.3500000000004</v>
      </c>
      <c r="J24" s="8">
        <v>205.05</v>
      </c>
      <c r="K24" s="8">
        <v>12.7</v>
      </c>
      <c r="L24" s="8">
        <v>0</v>
      </c>
      <c r="M24" s="8">
        <v>33.39</v>
      </c>
      <c r="N24" s="8">
        <v>136.11000000000001</v>
      </c>
      <c r="O24" s="15">
        <v>0</v>
      </c>
      <c r="P24" s="8">
        <v>0</v>
      </c>
      <c r="Q24" s="8">
        <v>0</v>
      </c>
      <c r="R24" s="9">
        <f t="shared" si="1"/>
        <v>387.25</v>
      </c>
      <c r="S24" s="9">
        <f>I24-R24</f>
        <v>1891.1000000000004</v>
      </c>
      <c r="T24" s="27"/>
    </row>
    <row r="25" spans="1:20" x14ac:dyDescent="0.25">
      <c r="A25" s="10" t="s">
        <v>55</v>
      </c>
      <c r="B25" s="11" t="s">
        <v>11</v>
      </c>
      <c r="C25" s="7">
        <v>2268.5500000000002</v>
      </c>
      <c r="D25" s="8">
        <v>0</v>
      </c>
      <c r="E25" s="9">
        <v>0</v>
      </c>
      <c r="F25" s="8">
        <v>698.1</v>
      </c>
      <c r="G25" s="9">
        <v>172</v>
      </c>
      <c r="H25" s="8">
        <v>0</v>
      </c>
      <c r="I25" s="18">
        <f t="shared" si="0"/>
        <v>2268.5500000000002</v>
      </c>
      <c r="J25" s="8">
        <v>202.48</v>
      </c>
      <c r="K25" s="8">
        <v>10.75</v>
      </c>
      <c r="L25" s="8">
        <v>18.72</v>
      </c>
      <c r="M25" s="8">
        <v>33.39</v>
      </c>
      <c r="N25" s="8">
        <v>136.11000000000001</v>
      </c>
      <c r="O25" s="15">
        <f>32.21+99.14</f>
        <v>131.35</v>
      </c>
      <c r="P25" s="8">
        <v>0</v>
      </c>
      <c r="Q25" s="8">
        <v>0</v>
      </c>
      <c r="R25" s="9">
        <f t="shared" si="1"/>
        <v>532.79999999999995</v>
      </c>
      <c r="S25" s="9">
        <f>I25-R25</f>
        <v>1735.7500000000002</v>
      </c>
      <c r="T25" s="27"/>
    </row>
    <row r="26" spans="1:20" x14ac:dyDescent="0.25">
      <c r="A26" s="10" t="s">
        <v>57</v>
      </c>
      <c r="B26" s="11" t="s">
        <v>11</v>
      </c>
      <c r="C26" s="7">
        <v>2268.5500000000002</v>
      </c>
      <c r="D26" s="8">
        <v>0</v>
      </c>
      <c r="E26" s="9">
        <v>0</v>
      </c>
      <c r="F26" s="8">
        <v>698.1</v>
      </c>
      <c r="G26" s="9">
        <v>0</v>
      </c>
      <c r="H26" s="8">
        <f>4.76+0.95</f>
        <v>5.71</v>
      </c>
      <c r="I26" s="18">
        <f t="shared" si="0"/>
        <v>2274.2600000000002</v>
      </c>
      <c r="J26" s="8">
        <v>204.68</v>
      </c>
      <c r="K26" s="8">
        <v>12.42</v>
      </c>
      <c r="L26" s="8">
        <v>0</v>
      </c>
      <c r="M26" s="8">
        <v>33.39</v>
      </c>
      <c r="N26" s="8">
        <v>0</v>
      </c>
      <c r="O26" s="8">
        <v>32.21</v>
      </c>
      <c r="P26" s="8">
        <v>403.17</v>
      </c>
      <c r="Q26" s="8">
        <v>0</v>
      </c>
      <c r="R26" s="9">
        <f t="shared" si="1"/>
        <v>282.7</v>
      </c>
      <c r="S26" s="19">
        <f>((I26-R26)+P26)</f>
        <v>2394.73</v>
      </c>
      <c r="T26" s="27"/>
    </row>
    <row r="27" spans="1:20" x14ac:dyDescent="0.25">
      <c r="A27" s="10" t="s">
        <v>8</v>
      </c>
      <c r="B27" s="11" t="s">
        <v>7</v>
      </c>
      <c r="C27" s="7">
        <v>5467.66</v>
      </c>
      <c r="D27" s="8">
        <v>0</v>
      </c>
      <c r="E27" s="9">
        <v>0</v>
      </c>
      <c r="F27" s="8">
        <v>698.1</v>
      </c>
      <c r="G27" s="9">
        <v>0</v>
      </c>
      <c r="H27" s="8">
        <f>588.87+117.77</f>
        <v>706.64</v>
      </c>
      <c r="I27" s="18">
        <f t="shared" si="0"/>
        <v>6174.3</v>
      </c>
      <c r="J27" s="8">
        <v>621.03</v>
      </c>
      <c r="K27" s="8">
        <v>657.79</v>
      </c>
      <c r="L27" s="8">
        <v>0</v>
      </c>
      <c r="M27" s="8">
        <v>33.39</v>
      </c>
      <c r="N27" s="8">
        <v>0</v>
      </c>
      <c r="O27" s="8">
        <v>0</v>
      </c>
      <c r="P27" s="8">
        <v>0</v>
      </c>
      <c r="Q27" s="8">
        <v>0</v>
      </c>
      <c r="R27" s="9">
        <f t="shared" si="1"/>
        <v>1312.21</v>
      </c>
      <c r="S27" s="9">
        <f t="shared" ref="S27:S61" si="3">I27-R27</f>
        <v>4862.09</v>
      </c>
      <c r="T27" s="27"/>
    </row>
    <row r="28" spans="1:20" x14ac:dyDescent="0.25">
      <c r="A28" s="10" t="s">
        <v>50</v>
      </c>
      <c r="B28" s="11" t="s">
        <v>10</v>
      </c>
      <c r="C28" s="7">
        <v>3202.65</v>
      </c>
      <c r="D28" s="8">
        <v>0</v>
      </c>
      <c r="E28" s="9">
        <v>0</v>
      </c>
      <c r="F28" s="8">
        <v>698.1</v>
      </c>
      <c r="G28" s="9">
        <v>0</v>
      </c>
      <c r="H28" s="8">
        <f>67.24+257.01+64.85</f>
        <v>389.1</v>
      </c>
      <c r="I28" s="18">
        <f t="shared" si="0"/>
        <v>3591.75</v>
      </c>
      <c r="J28" s="8">
        <v>395.09</v>
      </c>
      <c r="K28" s="8">
        <v>124.7</v>
      </c>
      <c r="L28" s="8">
        <v>0</v>
      </c>
      <c r="M28" s="8">
        <v>33.39</v>
      </c>
      <c r="N28" s="8">
        <v>0</v>
      </c>
      <c r="O28" s="8">
        <f>28+89.22</f>
        <v>117.22</v>
      </c>
      <c r="P28" s="8">
        <v>0</v>
      </c>
      <c r="Q28" s="8">
        <v>0</v>
      </c>
      <c r="R28" s="9">
        <f t="shared" si="1"/>
        <v>670.4</v>
      </c>
      <c r="S28" s="9">
        <f t="shared" si="3"/>
        <v>2921.35</v>
      </c>
      <c r="T28" s="27"/>
    </row>
    <row r="29" spans="1:20" x14ac:dyDescent="0.25">
      <c r="A29" s="10" t="s">
        <v>17</v>
      </c>
      <c r="B29" s="11" t="s">
        <v>11</v>
      </c>
      <c r="C29" s="7">
        <v>2383.35</v>
      </c>
      <c r="D29" s="8">
        <v>0</v>
      </c>
      <c r="E29" s="9">
        <v>0</v>
      </c>
      <c r="F29" s="8">
        <v>698.1</v>
      </c>
      <c r="G29" s="9">
        <v>0</v>
      </c>
      <c r="H29" s="8">
        <v>0</v>
      </c>
      <c r="I29" s="18">
        <f t="shared" si="0"/>
        <v>2383.35</v>
      </c>
      <c r="J29" s="8">
        <v>214.5</v>
      </c>
      <c r="K29" s="8">
        <v>19.86</v>
      </c>
      <c r="L29" s="8">
        <v>0</v>
      </c>
      <c r="M29" s="8">
        <v>33.39</v>
      </c>
      <c r="N29" s="8">
        <v>0</v>
      </c>
      <c r="O29" s="8">
        <v>24.35</v>
      </c>
      <c r="P29" s="8">
        <v>0</v>
      </c>
      <c r="Q29" s="8">
        <v>0</v>
      </c>
      <c r="R29" s="9">
        <f t="shared" si="1"/>
        <v>292.10000000000002</v>
      </c>
      <c r="S29" s="9">
        <f t="shared" si="3"/>
        <v>2091.25</v>
      </c>
      <c r="T29" s="27"/>
    </row>
    <row r="30" spans="1:20" x14ac:dyDescent="0.25">
      <c r="A30" s="10" t="s">
        <v>101</v>
      </c>
      <c r="B30" s="11" t="s">
        <v>102</v>
      </c>
      <c r="C30" s="7">
        <v>1366.17</v>
      </c>
      <c r="D30" s="8">
        <v>0</v>
      </c>
      <c r="E30" s="9">
        <v>0</v>
      </c>
      <c r="F30" s="8">
        <v>0</v>
      </c>
      <c r="G30" s="9">
        <v>0</v>
      </c>
      <c r="H30" s="8">
        <v>0</v>
      </c>
      <c r="I30" s="18">
        <f t="shared" ref="I30" si="4">C30+D30+E30+H30</f>
        <v>1366.17</v>
      </c>
      <c r="J30" s="8">
        <v>109.29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9">
        <f t="shared" ref="R30" si="5">J30+K30+L30+M30+N30+O30+Q30</f>
        <v>109.29</v>
      </c>
      <c r="S30" s="9">
        <f t="shared" ref="S30" si="6">I30-R30</f>
        <v>1256.8800000000001</v>
      </c>
      <c r="T30" s="27"/>
    </row>
    <row r="31" spans="1:20" x14ac:dyDescent="0.25">
      <c r="A31" s="10" t="s">
        <v>34</v>
      </c>
      <c r="B31" s="11" t="s">
        <v>11</v>
      </c>
      <c r="C31" s="7">
        <v>2383.35</v>
      </c>
      <c r="D31" s="8">
        <v>0</v>
      </c>
      <c r="E31" s="9">
        <v>0</v>
      </c>
      <c r="F31" s="8">
        <v>698.1</v>
      </c>
      <c r="G31" s="9">
        <v>0</v>
      </c>
      <c r="H31" s="8">
        <v>0</v>
      </c>
      <c r="I31" s="18">
        <f t="shared" si="0"/>
        <v>2383.35</v>
      </c>
      <c r="J31" s="8">
        <v>214.47</v>
      </c>
      <c r="K31" s="8">
        <v>19.850000000000001</v>
      </c>
      <c r="L31" s="8">
        <v>0.24</v>
      </c>
      <c r="M31" s="8">
        <v>33.39</v>
      </c>
      <c r="N31" s="8">
        <v>0</v>
      </c>
      <c r="O31" s="8">
        <v>32.21</v>
      </c>
      <c r="P31" s="8">
        <v>0</v>
      </c>
      <c r="Q31" s="8">
        <v>0</v>
      </c>
      <c r="R31" s="9">
        <f t="shared" si="1"/>
        <v>300.15999999999997</v>
      </c>
      <c r="S31" s="9">
        <f t="shared" si="3"/>
        <v>2083.19</v>
      </c>
      <c r="T31" s="27"/>
    </row>
    <row r="32" spans="1:20" x14ac:dyDescent="0.25">
      <c r="A32" s="10" t="s">
        <v>9</v>
      </c>
      <c r="B32" s="11" t="s">
        <v>7</v>
      </c>
      <c r="C32" s="7">
        <v>5204.3100000000004</v>
      </c>
      <c r="D32" s="8">
        <v>72.42</v>
      </c>
      <c r="E32" s="9">
        <v>0</v>
      </c>
      <c r="F32" s="8">
        <v>698.1</v>
      </c>
      <c r="G32" s="9">
        <v>0</v>
      </c>
      <c r="H32" s="8">
        <f>10.41+2.08</f>
        <v>12.49</v>
      </c>
      <c r="I32" s="18">
        <f t="shared" si="0"/>
        <v>5289.22</v>
      </c>
      <c r="J32" s="8">
        <v>579.72</v>
      </c>
      <c r="K32" s="8">
        <v>402.94</v>
      </c>
      <c r="L32" s="8">
        <v>19</v>
      </c>
      <c r="M32" s="8">
        <v>33.39</v>
      </c>
      <c r="N32" s="8">
        <v>0</v>
      </c>
      <c r="O32" s="8">
        <v>28</v>
      </c>
      <c r="P32" s="8">
        <v>0</v>
      </c>
      <c r="Q32" s="8">
        <v>0</v>
      </c>
      <c r="R32" s="9">
        <f t="shared" si="1"/>
        <v>1063.0500000000002</v>
      </c>
      <c r="S32" s="9">
        <f t="shared" si="3"/>
        <v>4226.17</v>
      </c>
      <c r="T32" s="27"/>
    </row>
    <row r="33" spans="1:61" x14ac:dyDescent="0.25">
      <c r="A33" s="10" t="s">
        <v>5</v>
      </c>
      <c r="B33" s="11" t="s">
        <v>97</v>
      </c>
      <c r="C33" s="7">
        <v>11395.69</v>
      </c>
      <c r="D33" s="8">
        <v>0</v>
      </c>
      <c r="E33" s="9">
        <v>0</v>
      </c>
      <c r="F33" s="8">
        <v>698.1</v>
      </c>
      <c r="G33" s="9">
        <v>0</v>
      </c>
      <c r="H33" s="8">
        <v>0</v>
      </c>
      <c r="I33" s="18">
        <f t="shared" si="0"/>
        <v>11395.69</v>
      </c>
      <c r="J33" s="8">
        <v>621.03</v>
      </c>
      <c r="K33" s="8">
        <v>2041.53</v>
      </c>
      <c r="L33" s="8">
        <v>0</v>
      </c>
      <c r="M33" s="8">
        <v>33.39</v>
      </c>
      <c r="N33" s="8">
        <v>0</v>
      </c>
      <c r="O33" s="8">
        <v>37.04</v>
      </c>
      <c r="P33" s="8">
        <v>403.17</v>
      </c>
      <c r="Q33" s="8">
        <v>0</v>
      </c>
      <c r="R33" s="9">
        <f t="shared" si="1"/>
        <v>2732.99</v>
      </c>
      <c r="S33" s="19">
        <f>((I33-R33)+P33)</f>
        <v>9065.8700000000008</v>
      </c>
      <c r="T33" s="27"/>
    </row>
    <row r="34" spans="1:61" x14ac:dyDescent="0.25">
      <c r="A34" s="10" t="s">
        <v>32</v>
      </c>
      <c r="B34" s="11" t="s">
        <v>13</v>
      </c>
      <c r="C34" s="7">
        <v>7477.17</v>
      </c>
      <c r="D34" s="8">
        <f>1150.36+399.41+20.45+19.67+0.05+7.71</f>
        <v>1597.65</v>
      </c>
      <c r="E34" s="9">
        <v>0</v>
      </c>
      <c r="F34" s="8">
        <v>634.44000000000005</v>
      </c>
      <c r="G34" s="9">
        <v>0</v>
      </c>
      <c r="H34" s="8">
        <f>12.94+2.59</f>
        <v>15.53</v>
      </c>
      <c r="I34" s="18">
        <f t="shared" si="0"/>
        <v>9090.35</v>
      </c>
      <c r="J34" s="8">
        <f>538.22+82.81</f>
        <v>621.03</v>
      </c>
      <c r="K34" s="8">
        <v>1043.1199999999999</v>
      </c>
      <c r="L34" s="8">
        <v>0</v>
      </c>
      <c r="M34" s="20">
        <v>30.21</v>
      </c>
      <c r="N34" s="8">
        <v>0</v>
      </c>
      <c r="O34" s="8">
        <v>32.21</v>
      </c>
      <c r="P34" s="8">
        <v>0</v>
      </c>
      <c r="Q34" s="8">
        <v>1514.84</v>
      </c>
      <c r="R34" s="9">
        <f t="shared" si="1"/>
        <v>3241.41</v>
      </c>
      <c r="S34" s="9">
        <f t="shared" si="3"/>
        <v>5848.9400000000005</v>
      </c>
      <c r="T34" s="27"/>
    </row>
    <row r="35" spans="1:61" x14ac:dyDescent="0.25">
      <c r="A35" s="10" t="s">
        <v>27</v>
      </c>
      <c r="B35" s="11" t="s">
        <v>11</v>
      </c>
      <c r="C35" s="7">
        <v>2304.0500000000002</v>
      </c>
      <c r="D35" s="8">
        <v>0</v>
      </c>
      <c r="E35" s="9">
        <v>0</v>
      </c>
      <c r="F35" s="8">
        <v>668.44</v>
      </c>
      <c r="G35" s="8">
        <v>180.6</v>
      </c>
      <c r="H35" s="8">
        <v>0</v>
      </c>
      <c r="I35" s="18">
        <f t="shared" si="0"/>
        <v>2304.0500000000002</v>
      </c>
      <c r="J35" s="8">
        <v>200.21</v>
      </c>
      <c r="K35" s="8">
        <v>0</v>
      </c>
      <c r="L35" s="8">
        <f>79.45</f>
        <v>79.45</v>
      </c>
      <c r="M35" s="20">
        <v>33.39</v>
      </c>
      <c r="N35" s="8">
        <v>143</v>
      </c>
      <c r="O35" s="8">
        <f>37.04+222.58</f>
        <v>259.62</v>
      </c>
      <c r="P35" s="8">
        <v>0</v>
      </c>
      <c r="Q35" s="8">
        <v>0</v>
      </c>
      <c r="R35" s="9">
        <f t="shared" si="1"/>
        <v>715.67000000000007</v>
      </c>
      <c r="S35" s="9">
        <f t="shared" si="3"/>
        <v>1588.38</v>
      </c>
      <c r="T35" s="27"/>
    </row>
    <row r="36" spans="1:61" x14ac:dyDescent="0.25">
      <c r="A36" s="10" t="s">
        <v>58</v>
      </c>
      <c r="B36" s="11" t="s">
        <v>11</v>
      </c>
      <c r="C36" s="7">
        <v>2268.5500000000002</v>
      </c>
      <c r="D36" s="8">
        <v>0</v>
      </c>
      <c r="E36" s="9">
        <v>1330.09</v>
      </c>
      <c r="F36" s="8">
        <v>335.56</v>
      </c>
      <c r="G36" s="9">
        <v>172</v>
      </c>
      <c r="H36" s="8">
        <f>359.8+71.96</f>
        <v>431.76</v>
      </c>
      <c r="I36" s="18">
        <f t="shared" si="0"/>
        <v>4030.4000000000005</v>
      </c>
      <c r="J36" s="8">
        <v>443.29</v>
      </c>
      <c r="K36" s="8">
        <v>183.2</v>
      </c>
      <c r="L36" s="8">
        <v>0.45</v>
      </c>
      <c r="M36" s="20">
        <v>15.9</v>
      </c>
      <c r="N36" s="8">
        <v>136.11000000000001</v>
      </c>
      <c r="O36" s="8">
        <v>51.99</v>
      </c>
      <c r="P36" s="8">
        <v>0</v>
      </c>
      <c r="Q36" s="8">
        <v>0</v>
      </c>
      <c r="R36" s="9">
        <f t="shared" si="1"/>
        <v>830.94</v>
      </c>
      <c r="S36" s="9">
        <f t="shared" si="3"/>
        <v>3199.4600000000005</v>
      </c>
      <c r="T36" s="27"/>
    </row>
    <row r="37" spans="1:61" x14ac:dyDescent="0.25">
      <c r="A37" s="10" t="s">
        <v>94</v>
      </c>
      <c r="B37" s="11" t="s">
        <v>95</v>
      </c>
      <c r="C37" s="7">
        <v>11395.69</v>
      </c>
      <c r="D37" s="8">
        <v>0</v>
      </c>
      <c r="E37" s="9">
        <v>0</v>
      </c>
      <c r="F37" s="8">
        <v>668.43</v>
      </c>
      <c r="G37" s="9">
        <v>0</v>
      </c>
      <c r="H37" s="8">
        <v>0</v>
      </c>
      <c r="I37" s="18">
        <f t="shared" si="0"/>
        <v>11395.69</v>
      </c>
      <c r="J37" s="8">
        <v>621.03</v>
      </c>
      <c r="K37" s="8">
        <v>2093.67</v>
      </c>
      <c r="L37" s="8">
        <v>0</v>
      </c>
      <c r="M37" s="8">
        <v>33.39</v>
      </c>
      <c r="N37" s="8">
        <v>0</v>
      </c>
      <c r="O37" s="8">
        <v>51.99</v>
      </c>
      <c r="P37" s="8">
        <v>0</v>
      </c>
      <c r="Q37" s="8">
        <v>0</v>
      </c>
      <c r="R37" s="9">
        <f t="shared" si="1"/>
        <v>2800.0799999999995</v>
      </c>
      <c r="S37" s="9">
        <f t="shared" si="3"/>
        <v>8595.61</v>
      </c>
      <c r="T37" s="27"/>
    </row>
    <row r="38" spans="1:61" x14ac:dyDescent="0.25">
      <c r="A38" s="10" t="s">
        <v>51</v>
      </c>
      <c r="B38" s="11" t="s">
        <v>52</v>
      </c>
      <c r="C38" s="7">
        <v>3598.64</v>
      </c>
      <c r="D38" s="8">
        <v>0</v>
      </c>
      <c r="E38" s="9">
        <v>0</v>
      </c>
      <c r="F38" s="8">
        <v>698.1</v>
      </c>
      <c r="G38" s="9">
        <v>239.4</v>
      </c>
      <c r="H38" s="8">
        <v>0</v>
      </c>
      <c r="I38" s="18">
        <f t="shared" si="0"/>
        <v>3598.64</v>
      </c>
      <c r="J38" s="8">
        <v>384.52</v>
      </c>
      <c r="K38" s="8">
        <v>111.88</v>
      </c>
      <c r="L38" s="8">
        <v>102.92</v>
      </c>
      <c r="M38" s="8">
        <v>33.39</v>
      </c>
      <c r="N38" s="8">
        <v>215.92</v>
      </c>
      <c r="O38" s="8">
        <f>67.6+39.65</f>
        <v>107.25</v>
      </c>
      <c r="P38" s="8">
        <v>0</v>
      </c>
      <c r="Q38" s="8">
        <v>0</v>
      </c>
      <c r="R38" s="9">
        <f t="shared" si="1"/>
        <v>955.87999999999988</v>
      </c>
      <c r="S38" s="9">
        <f t="shared" si="3"/>
        <v>2642.76</v>
      </c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</row>
    <row r="39" spans="1:61" x14ac:dyDescent="0.25">
      <c r="A39" s="10" t="s">
        <v>53</v>
      </c>
      <c r="B39" s="11" t="s">
        <v>11</v>
      </c>
      <c r="C39" s="7">
        <f>2268.55+4.76</f>
        <v>2273.3100000000004</v>
      </c>
      <c r="D39" s="8">
        <v>0</v>
      </c>
      <c r="E39" s="9">
        <v>0</v>
      </c>
      <c r="F39" s="8">
        <v>698.1</v>
      </c>
      <c r="G39" s="9">
        <v>180.6</v>
      </c>
      <c r="H39" s="8">
        <v>0</v>
      </c>
      <c r="I39" s="18">
        <f t="shared" si="0"/>
        <v>2273.3100000000004</v>
      </c>
      <c r="J39" s="8">
        <v>202.67</v>
      </c>
      <c r="K39" s="8">
        <v>10.9</v>
      </c>
      <c r="L39" s="8">
        <v>16.559999999999999</v>
      </c>
      <c r="M39" s="8">
        <v>33.39</v>
      </c>
      <c r="N39" s="8">
        <v>136.11000000000001</v>
      </c>
      <c r="O39" s="8">
        <f>37.04+130.86</f>
        <v>167.9</v>
      </c>
      <c r="P39" s="8">
        <v>403.17</v>
      </c>
      <c r="Q39" s="8">
        <v>0</v>
      </c>
      <c r="R39" s="9">
        <f>J39+K39+L39+M39+N39+O39+Q39+370.46</f>
        <v>937.99</v>
      </c>
      <c r="S39" s="9">
        <f>((I39-R39)+P39)</f>
        <v>1738.4900000000005</v>
      </c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</row>
    <row r="40" spans="1:61" x14ac:dyDescent="0.25">
      <c r="A40" s="21" t="s">
        <v>21</v>
      </c>
      <c r="B40" s="22" t="s">
        <v>68</v>
      </c>
      <c r="C40" s="23">
        <v>2383.35</v>
      </c>
      <c r="D40" s="17">
        <v>0</v>
      </c>
      <c r="E40" s="24">
        <v>4813.93</v>
      </c>
      <c r="F40" s="17">
        <v>698.1</v>
      </c>
      <c r="G40" s="24">
        <v>180.6</v>
      </c>
      <c r="H40" s="17">
        <f>12.24+2.45</f>
        <v>14.690000000000001</v>
      </c>
      <c r="I40" s="25">
        <f t="shared" si="0"/>
        <v>7211.97</v>
      </c>
      <c r="J40" s="17">
        <v>621.03</v>
      </c>
      <c r="K40" s="17">
        <v>941.84</v>
      </c>
      <c r="L40" s="17">
        <v>4.7699999999999996</v>
      </c>
      <c r="M40" s="17">
        <v>33.39</v>
      </c>
      <c r="N40" s="17">
        <v>143</v>
      </c>
      <c r="O40" s="17">
        <v>0</v>
      </c>
      <c r="P40" s="17">
        <v>0</v>
      </c>
      <c r="Q40" s="17">
        <v>0</v>
      </c>
      <c r="R40" s="24">
        <f>J40+K40+L40+M40+N40+O40+Q40</f>
        <v>1744.03</v>
      </c>
      <c r="S40" s="24">
        <f t="shared" si="3"/>
        <v>5467.9400000000005</v>
      </c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</row>
    <row r="41" spans="1:61" s="26" customFormat="1" x14ac:dyDescent="0.25">
      <c r="A41" s="10" t="s">
        <v>61</v>
      </c>
      <c r="B41" s="11" t="s">
        <v>11</v>
      </c>
      <c r="C41" s="12">
        <v>2268.5500000000002</v>
      </c>
      <c r="D41" s="9">
        <v>0</v>
      </c>
      <c r="E41" s="9">
        <v>0</v>
      </c>
      <c r="F41" s="9">
        <v>698.1</v>
      </c>
      <c r="G41" s="9">
        <v>487.2</v>
      </c>
      <c r="H41" s="9">
        <v>0</v>
      </c>
      <c r="I41" s="19">
        <f t="shared" si="0"/>
        <v>2268.5500000000002</v>
      </c>
      <c r="J41" s="9">
        <v>203.4</v>
      </c>
      <c r="K41" s="9">
        <v>11.45</v>
      </c>
      <c r="L41" s="9">
        <v>8.51</v>
      </c>
      <c r="M41" s="9">
        <v>33.39</v>
      </c>
      <c r="N41" s="9">
        <v>136.11000000000001</v>
      </c>
      <c r="O41" s="9">
        <f>67.6</f>
        <v>67.599999999999994</v>
      </c>
      <c r="P41" s="9">
        <v>0</v>
      </c>
      <c r="Q41" s="9">
        <v>0</v>
      </c>
      <c r="R41" s="9">
        <f t="shared" si="1"/>
        <v>460.46000000000004</v>
      </c>
      <c r="S41" s="9">
        <f t="shared" si="3"/>
        <v>1808.0900000000001</v>
      </c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</row>
    <row r="42" spans="1:61" x14ac:dyDescent="0.25">
      <c r="A42" s="5" t="s">
        <v>47</v>
      </c>
      <c r="B42" s="6" t="s">
        <v>48</v>
      </c>
      <c r="C42" s="7">
        <v>7197.28</v>
      </c>
      <c r="D42" s="8">
        <v>0</v>
      </c>
      <c r="E42" s="8">
        <v>0</v>
      </c>
      <c r="F42" s="8">
        <v>687.75</v>
      </c>
      <c r="G42" s="8">
        <v>0</v>
      </c>
      <c r="H42" s="8">
        <f>8.64+295.87+60.9</f>
        <v>365.40999999999997</v>
      </c>
      <c r="I42" s="18">
        <f t="shared" si="0"/>
        <v>7562.69</v>
      </c>
      <c r="J42" s="8">
        <v>621.03</v>
      </c>
      <c r="K42" s="8">
        <v>1039.5999999999999</v>
      </c>
      <c r="L42" s="8">
        <v>0</v>
      </c>
      <c r="M42" s="9">
        <v>33.39</v>
      </c>
      <c r="N42" s="8">
        <v>0</v>
      </c>
      <c r="O42" s="8">
        <v>51.99</v>
      </c>
      <c r="P42" s="8">
        <v>0</v>
      </c>
      <c r="Q42" s="8">
        <v>0</v>
      </c>
      <c r="R42" s="8">
        <f t="shared" si="1"/>
        <v>1746.01</v>
      </c>
      <c r="S42" s="8">
        <f t="shared" si="3"/>
        <v>5816.6799999999994</v>
      </c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</row>
    <row r="43" spans="1:61" x14ac:dyDescent="0.25">
      <c r="A43" s="10" t="s">
        <v>24</v>
      </c>
      <c r="B43" s="11" t="s">
        <v>64</v>
      </c>
      <c r="C43" s="7">
        <v>8627.67</v>
      </c>
      <c r="D43" s="8">
        <v>0</v>
      </c>
      <c r="E43" s="9">
        <v>2768.02</v>
      </c>
      <c r="F43" s="8">
        <v>698.1</v>
      </c>
      <c r="G43" s="9">
        <v>0</v>
      </c>
      <c r="H43" s="8">
        <v>0</v>
      </c>
      <c r="I43" s="18">
        <f t="shared" si="0"/>
        <v>11395.69</v>
      </c>
      <c r="J43" s="8">
        <v>621.03</v>
      </c>
      <c r="K43" s="8">
        <v>2041.53</v>
      </c>
      <c r="L43" s="8">
        <v>0</v>
      </c>
      <c r="M43" s="8">
        <v>33.39</v>
      </c>
      <c r="N43" s="8">
        <v>0</v>
      </c>
      <c r="O43" s="8">
        <f>32.21+39.65</f>
        <v>71.86</v>
      </c>
      <c r="P43" s="8">
        <v>0</v>
      </c>
      <c r="Q43" s="8">
        <v>0</v>
      </c>
      <c r="R43" s="9">
        <f t="shared" si="1"/>
        <v>2767.81</v>
      </c>
      <c r="S43" s="9">
        <f t="shared" si="3"/>
        <v>8627.880000000001</v>
      </c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</row>
    <row r="44" spans="1:61" x14ac:dyDescent="0.25">
      <c r="A44" s="10" t="s">
        <v>0</v>
      </c>
      <c r="B44" s="11" t="s">
        <v>49</v>
      </c>
      <c r="C44" s="7">
        <v>11395.69</v>
      </c>
      <c r="D44" s="8">
        <v>0</v>
      </c>
      <c r="E44" s="9">
        <v>0</v>
      </c>
      <c r="F44" s="8">
        <v>698.1</v>
      </c>
      <c r="G44" s="9">
        <v>0</v>
      </c>
      <c r="H44" s="8">
        <v>0</v>
      </c>
      <c r="I44" s="18">
        <f t="shared" si="0"/>
        <v>11395.69</v>
      </c>
      <c r="J44" s="8">
        <v>621.03</v>
      </c>
      <c r="K44" s="8">
        <v>2093.67</v>
      </c>
      <c r="L44" s="8">
        <v>0</v>
      </c>
      <c r="M44" s="8">
        <v>33.39</v>
      </c>
      <c r="N44" s="8">
        <v>0</v>
      </c>
      <c r="O44" s="8">
        <f>126.92</f>
        <v>126.92</v>
      </c>
      <c r="P44" s="8">
        <v>0</v>
      </c>
      <c r="Q44" s="8">
        <v>0</v>
      </c>
      <c r="R44" s="9">
        <f t="shared" si="1"/>
        <v>2875.0099999999998</v>
      </c>
      <c r="S44" s="9">
        <f t="shared" si="3"/>
        <v>8520.68</v>
      </c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</row>
    <row r="45" spans="1:61" x14ac:dyDescent="0.25">
      <c r="A45" s="10" t="s">
        <v>26</v>
      </c>
      <c r="B45" s="11" t="s">
        <v>13</v>
      </c>
      <c r="C45" s="7">
        <v>8627.67</v>
      </c>
      <c r="D45" s="8">
        <v>0</v>
      </c>
      <c r="E45" s="9">
        <v>0</v>
      </c>
      <c r="F45" s="8">
        <v>698.1</v>
      </c>
      <c r="G45" s="9">
        <v>0</v>
      </c>
      <c r="H45" s="8">
        <f>14.24+2.85</f>
        <v>17.09</v>
      </c>
      <c r="I45" s="18">
        <f t="shared" si="0"/>
        <v>8644.76</v>
      </c>
      <c r="J45" s="8">
        <v>621.03</v>
      </c>
      <c r="K45" s="8">
        <v>1337.17</v>
      </c>
      <c r="L45" s="8">
        <v>0</v>
      </c>
      <c r="M45" s="8">
        <v>33.39</v>
      </c>
      <c r="N45" s="8">
        <v>0</v>
      </c>
      <c r="O45" s="8">
        <v>32.21</v>
      </c>
      <c r="P45" s="8">
        <v>0</v>
      </c>
      <c r="Q45" s="8">
        <v>0</v>
      </c>
      <c r="R45" s="9">
        <f t="shared" si="1"/>
        <v>2023.8000000000002</v>
      </c>
      <c r="S45" s="9">
        <f t="shared" si="3"/>
        <v>6620.96</v>
      </c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</row>
    <row r="46" spans="1:61" x14ac:dyDescent="0.25">
      <c r="A46" s="10" t="s">
        <v>31</v>
      </c>
      <c r="B46" s="11" t="s">
        <v>11</v>
      </c>
      <c r="C46" s="7">
        <f>2385.35+45.52</f>
        <v>2430.87</v>
      </c>
      <c r="D46" s="8">
        <v>0</v>
      </c>
      <c r="E46" s="9">
        <v>0</v>
      </c>
      <c r="F46" s="8">
        <v>698.1</v>
      </c>
      <c r="G46" s="9">
        <v>0</v>
      </c>
      <c r="H46" s="8">
        <f>14.84+2.97</f>
        <v>17.809999999999999</v>
      </c>
      <c r="I46" s="18">
        <f t="shared" si="0"/>
        <v>2448.6799999999998</v>
      </c>
      <c r="J46" s="8">
        <v>216.1</v>
      </c>
      <c r="K46" s="8">
        <v>21.08</v>
      </c>
      <c r="L46" s="8">
        <v>0</v>
      </c>
      <c r="M46" s="8">
        <v>33.39</v>
      </c>
      <c r="N46" s="8">
        <v>0</v>
      </c>
      <c r="O46" s="8">
        <f>28+128.87</f>
        <v>156.87</v>
      </c>
      <c r="P46" s="8">
        <v>0</v>
      </c>
      <c r="Q46" s="8">
        <v>0</v>
      </c>
      <c r="R46" s="9">
        <f t="shared" si="1"/>
        <v>427.44</v>
      </c>
      <c r="S46" s="9">
        <f t="shared" si="3"/>
        <v>2021.2399999999998</v>
      </c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</row>
    <row r="47" spans="1:61" x14ac:dyDescent="0.25">
      <c r="A47" s="10" t="s">
        <v>44</v>
      </c>
      <c r="B47" s="11" t="s">
        <v>45</v>
      </c>
      <c r="C47" s="7">
        <v>5204.3100000000004</v>
      </c>
      <c r="D47" s="8">
        <v>50.46</v>
      </c>
      <c r="E47" s="16">
        <v>0</v>
      </c>
      <c r="F47" s="8">
        <v>698.1</v>
      </c>
      <c r="G47" s="16">
        <v>0</v>
      </c>
      <c r="H47" s="8">
        <v>0</v>
      </c>
      <c r="I47" s="18">
        <f t="shared" si="0"/>
        <v>5254.77</v>
      </c>
      <c r="J47" s="8">
        <v>574.80999999999995</v>
      </c>
      <c r="K47" s="8">
        <v>398.95</v>
      </c>
      <c r="L47" s="8">
        <v>29.14</v>
      </c>
      <c r="M47" s="8">
        <v>33.39</v>
      </c>
      <c r="N47" s="15">
        <v>0</v>
      </c>
      <c r="O47" s="15">
        <v>28</v>
      </c>
      <c r="P47" s="15">
        <v>0</v>
      </c>
      <c r="Q47" s="8">
        <v>0</v>
      </c>
      <c r="R47" s="9">
        <f t="shared" si="1"/>
        <v>1064.29</v>
      </c>
      <c r="S47" s="9">
        <f t="shared" si="3"/>
        <v>4190.4800000000005</v>
      </c>
      <c r="T47" s="27"/>
    </row>
    <row r="48" spans="1:61" x14ac:dyDescent="0.25">
      <c r="A48" s="10" t="s">
        <v>39</v>
      </c>
      <c r="B48" s="11" t="s">
        <v>13</v>
      </c>
      <c r="C48" s="7">
        <v>8294.27</v>
      </c>
      <c r="D48" s="8">
        <v>0</v>
      </c>
      <c r="E48" s="9">
        <v>0</v>
      </c>
      <c r="F48" s="8">
        <v>698.1</v>
      </c>
      <c r="G48" s="9">
        <v>0</v>
      </c>
      <c r="H48" s="8">
        <f>281.18+56.24</f>
        <v>337.42</v>
      </c>
      <c r="I48" s="18">
        <f t="shared" si="0"/>
        <v>8631.69</v>
      </c>
      <c r="J48" s="8">
        <v>621.03</v>
      </c>
      <c r="K48" s="8">
        <v>1333.57</v>
      </c>
      <c r="L48" s="8">
        <v>0</v>
      </c>
      <c r="M48" s="8">
        <v>33.39</v>
      </c>
      <c r="N48" s="8">
        <v>0</v>
      </c>
      <c r="O48" s="8">
        <v>0</v>
      </c>
      <c r="P48" s="8">
        <v>0</v>
      </c>
      <c r="Q48" s="8">
        <v>0</v>
      </c>
      <c r="R48" s="9">
        <f t="shared" si="1"/>
        <v>1987.99</v>
      </c>
      <c r="S48" s="9">
        <f t="shared" si="3"/>
        <v>6643.7000000000007</v>
      </c>
      <c r="T48" s="27"/>
    </row>
    <row r="49" spans="1:20" x14ac:dyDescent="0.25">
      <c r="A49" s="10" t="s">
        <v>14</v>
      </c>
      <c r="B49" s="11" t="s">
        <v>13</v>
      </c>
      <c r="C49" s="7">
        <v>8627.67</v>
      </c>
      <c r="D49" s="8">
        <v>0</v>
      </c>
      <c r="E49" s="9">
        <v>0</v>
      </c>
      <c r="F49" s="8">
        <v>335.55</v>
      </c>
      <c r="G49" s="9">
        <v>0</v>
      </c>
      <c r="H49" s="8">
        <f>415.85+933.77+269.92</f>
        <v>1619.54</v>
      </c>
      <c r="I49" s="18">
        <f t="shared" si="0"/>
        <v>10247.209999999999</v>
      </c>
      <c r="J49" s="8">
        <v>621.03</v>
      </c>
      <c r="K49" s="8">
        <v>1777.84</v>
      </c>
      <c r="L49" s="8">
        <v>0</v>
      </c>
      <c r="M49" s="20">
        <v>15.9</v>
      </c>
      <c r="N49" s="8">
        <v>0</v>
      </c>
      <c r="O49" s="8">
        <v>0</v>
      </c>
      <c r="P49" s="8">
        <v>0</v>
      </c>
      <c r="Q49" s="8">
        <v>0</v>
      </c>
      <c r="R49" s="9">
        <f>J49+K49+L49+M49+N49+O49+Q49+501.73</f>
        <v>2916.5</v>
      </c>
      <c r="S49" s="9">
        <f t="shared" si="3"/>
        <v>7330.7099999999991</v>
      </c>
      <c r="T49" s="27"/>
    </row>
    <row r="50" spans="1:20" x14ac:dyDescent="0.25">
      <c r="A50" s="10" t="s">
        <v>82</v>
      </c>
      <c r="B50" s="11" t="s">
        <v>11</v>
      </c>
      <c r="C50" s="7">
        <v>453.71</v>
      </c>
      <c r="D50" s="8">
        <f>1814.84+608.21+2.18+6+1.63</f>
        <v>2432.86</v>
      </c>
      <c r="E50" s="9">
        <v>0</v>
      </c>
      <c r="F50" s="8">
        <v>698.1</v>
      </c>
      <c r="G50" s="9">
        <v>0</v>
      </c>
      <c r="H50" s="8">
        <v>0</v>
      </c>
      <c r="I50" s="18">
        <f t="shared" si="0"/>
        <v>2886.57</v>
      </c>
      <c r="J50" s="8">
        <f>32.41+218.95</f>
        <v>251.35999999999999</v>
      </c>
      <c r="K50" s="8">
        <v>23.24</v>
      </c>
      <c r="L50" s="8">
        <f>18.03+75.62</f>
        <v>93.65</v>
      </c>
      <c r="M50" s="8">
        <v>33.39</v>
      </c>
      <c r="N50" s="8">
        <v>0</v>
      </c>
      <c r="O50" s="8">
        <f>126.92+79.3</f>
        <v>206.22</v>
      </c>
      <c r="P50" s="8">
        <v>0</v>
      </c>
      <c r="Q50" s="8">
        <v>2190.67</v>
      </c>
      <c r="R50" s="9">
        <f t="shared" si="1"/>
        <v>2798.53</v>
      </c>
      <c r="S50" s="9">
        <f t="shared" si="3"/>
        <v>88.039999999999964</v>
      </c>
      <c r="T50" s="27"/>
    </row>
    <row r="51" spans="1:20" ht="15.75" customHeight="1" x14ac:dyDescent="0.25">
      <c r="A51" s="10" t="s">
        <v>38</v>
      </c>
      <c r="B51" s="11" t="s">
        <v>98</v>
      </c>
      <c r="C51" s="7">
        <v>2291.2399999999998</v>
      </c>
      <c r="D51" s="8">
        <v>901.61</v>
      </c>
      <c r="E51" s="9">
        <v>1307.4000000000001</v>
      </c>
      <c r="F51" s="8">
        <v>729.93</v>
      </c>
      <c r="G51" s="9">
        <v>451</v>
      </c>
      <c r="H51" s="8">
        <f>208.68+41.74</f>
        <v>250.42000000000002</v>
      </c>
      <c r="I51" s="18">
        <f t="shared" si="0"/>
        <v>4750.67</v>
      </c>
      <c r="J51" s="8">
        <v>522.57000000000005</v>
      </c>
      <c r="K51" s="8">
        <v>144.16999999999999</v>
      </c>
      <c r="L51" s="8">
        <v>0</v>
      </c>
      <c r="M51" s="20">
        <v>34.979999999999997</v>
      </c>
      <c r="N51" s="8">
        <v>137.47</v>
      </c>
      <c r="O51" s="8">
        <v>28</v>
      </c>
      <c r="P51" s="8">
        <v>0</v>
      </c>
      <c r="Q51" s="8">
        <v>0</v>
      </c>
      <c r="R51" s="9">
        <f t="shared" si="1"/>
        <v>867.19</v>
      </c>
      <c r="S51" s="9">
        <f t="shared" si="3"/>
        <v>3883.48</v>
      </c>
      <c r="T51" s="27"/>
    </row>
    <row r="52" spans="1:20" ht="15.75" customHeight="1" x14ac:dyDescent="0.25">
      <c r="A52" s="10" t="s">
        <v>96</v>
      </c>
      <c r="B52" s="11" t="s">
        <v>11</v>
      </c>
      <c r="C52" s="7">
        <v>2268.5500000000002</v>
      </c>
      <c r="D52" s="8">
        <v>0</v>
      </c>
      <c r="E52" s="9">
        <v>0</v>
      </c>
      <c r="F52" s="8">
        <v>698.1</v>
      </c>
      <c r="G52" s="9">
        <v>0</v>
      </c>
      <c r="H52" s="8">
        <f>3.91+0.78</f>
        <v>4.6900000000000004</v>
      </c>
      <c r="I52" s="18">
        <f t="shared" si="0"/>
        <v>2273.2400000000002</v>
      </c>
      <c r="J52" s="8">
        <v>204.59</v>
      </c>
      <c r="K52" s="8">
        <v>12.35</v>
      </c>
      <c r="L52" s="8">
        <v>0</v>
      </c>
      <c r="M52" s="8">
        <v>33.39</v>
      </c>
      <c r="N52" s="8">
        <v>0</v>
      </c>
      <c r="O52" s="8">
        <v>67.599999999999994</v>
      </c>
      <c r="P52" s="8">
        <v>0</v>
      </c>
      <c r="Q52" s="8">
        <v>0</v>
      </c>
      <c r="R52" s="9">
        <f t="shared" si="1"/>
        <v>317.92999999999995</v>
      </c>
      <c r="S52" s="9">
        <f t="shared" si="3"/>
        <v>1955.3100000000004</v>
      </c>
    </row>
    <row r="53" spans="1:20" x14ac:dyDescent="0.25">
      <c r="A53" s="10" t="s">
        <v>36</v>
      </c>
      <c r="B53" s="11" t="s">
        <v>11</v>
      </c>
      <c r="C53" s="7">
        <v>2383.35</v>
      </c>
      <c r="D53" s="8">
        <v>0</v>
      </c>
      <c r="E53" s="9">
        <v>1215.29</v>
      </c>
      <c r="F53" s="8">
        <v>300.27999999999997</v>
      </c>
      <c r="G53" s="9">
        <v>0</v>
      </c>
      <c r="H53" s="8">
        <f>426+245.61+134.32</f>
        <v>805.93000000000006</v>
      </c>
      <c r="I53" s="18">
        <f t="shared" si="0"/>
        <v>4404.57</v>
      </c>
      <c r="J53" s="8">
        <v>484.5</v>
      </c>
      <c r="K53" s="8">
        <v>245.89</v>
      </c>
      <c r="L53" s="8">
        <v>0</v>
      </c>
      <c r="M53" s="20">
        <v>14.31</v>
      </c>
      <c r="N53" s="8">
        <v>0</v>
      </c>
      <c r="O53" s="8">
        <v>28</v>
      </c>
      <c r="P53" s="8">
        <v>0</v>
      </c>
      <c r="Q53" s="8">
        <v>0</v>
      </c>
      <c r="R53" s="9">
        <f t="shared" si="1"/>
        <v>772.69999999999993</v>
      </c>
      <c r="S53" s="9">
        <f t="shared" si="3"/>
        <v>3631.87</v>
      </c>
    </row>
    <row r="54" spans="1:20" x14ac:dyDescent="0.25">
      <c r="A54" s="10" t="s">
        <v>22</v>
      </c>
      <c r="B54" s="11" t="s">
        <v>66</v>
      </c>
      <c r="C54" s="7">
        <v>794.49</v>
      </c>
      <c r="D54" s="8">
        <f>1588.86+1646.93+58.39+60.45+0.14+23.77</f>
        <v>3378.5399999999995</v>
      </c>
      <c r="E54" s="9">
        <v>4813.93</v>
      </c>
      <c r="F54" s="8">
        <v>698.1</v>
      </c>
      <c r="G54" s="9">
        <v>0</v>
      </c>
      <c r="H54" s="8">
        <v>138</v>
      </c>
      <c r="I54" s="18">
        <f t="shared" si="0"/>
        <v>9124.9599999999991</v>
      </c>
      <c r="J54" s="8">
        <v>621.03</v>
      </c>
      <c r="K54" s="8">
        <f>47.48+64.01</f>
        <v>111.49000000000001</v>
      </c>
      <c r="L54" s="8">
        <v>0</v>
      </c>
      <c r="M54" s="8">
        <v>33.39</v>
      </c>
      <c r="N54" s="8">
        <v>0</v>
      </c>
      <c r="O54" s="8">
        <v>0</v>
      </c>
      <c r="P54" s="8">
        <v>0</v>
      </c>
      <c r="Q54" s="8">
        <v>5902.7</v>
      </c>
      <c r="R54" s="9">
        <f t="shared" si="1"/>
        <v>6668.61</v>
      </c>
      <c r="S54" s="9">
        <f t="shared" si="3"/>
        <v>2456.3499999999995</v>
      </c>
    </row>
    <row r="55" spans="1:20" x14ac:dyDescent="0.25">
      <c r="A55" s="10" t="s">
        <v>54</v>
      </c>
      <c r="B55" s="11" t="s">
        <v>7</v>
      </c>
      <c r="C55" s="7">
        <v>5204.3100000000004</v>
      </c>
      <c r="D55" s="8">
        <v>0</v>
      </c>
      <c r="E55" s="9">
        <v>0</v>
      </c>
      <c r="F55" s="8">
        <v>698.1</v>
      </c>
      <c r="G55" s="9">
        <v>0</v>
      </c>
      <c r="H55" s="8">
        <f>78.06+15.61</f>
        <v>93.67</v>
      </c>
      <c r="I55" s="18">
        <f t="shared" si="0"/>
        <v>5297.9800000000005</v>
      </c>
      <c r="J55" s="8">
        <v>582.77</v>
      </c>
      <c r="K55" s="8">
        <v>427.32</v>
      </c>
      <c r="L55" s="8">
        <v>0</v>
      </c>
      <c r="M55" s="8">
        <v>33.39</v>
      </c>
      <c r="N55" s="8">
        <v>0</v>
      </c>
      <c r="O55" s="8">
        <f>32.21+39.65</f>
        <v>71.86</v>
      </c>
      <c r="P55" s="8">
        <v>0</v>
      </c>
      <c r="Q55" s="8">
        <v>0</v>
      </c>
      <c r="R55" s="9">
        <f t="shared" si="1"/>
        <v>1115.3399999999999</v>
      </c>
      <c r="S55" s="9">
        <f t="shared" si="3"/>
        <v>4182.6400000000003</v>
      </c>
    </row>
    <row r="56" spans="1:20" x14ac:dyDescent="0.25">
      <c r="A56" s="10" t="s">
        <v>59</v>
      </c>
      <c r="B56" s="11" t="s">
        <v>11</v>
      </c>
      <c r="C56" s="7">
        <f>1209.92+1112.3</f>
        <v>2322.2200000000003</v>
      </c>
      <c r="D56" s="8">
        <v>0</v>
      </c>
      <c r="E56" s="9">
        <v>2246.44</v>
      </c>
      <c r="F56" s="8">
        <v>698.1</v>
      </c>
      <c r="G56" s="9">
        <v>0</v>
      </c>
      <c r="H56" s="8">
        <f>26.03+5.21</f>
        <v>31.240000000000002</v>
      </c>
      <c r="I56" s="18">
        <f t="shared" si="0"/>
        <v>4599.8999999999996</v>
      </c>
      <c r="J56" s="8">
        <v>505.98</v>
      </c>
      <c r="K56" s="8">
        <v>285</v>
      </c>
      <c r="L56" s="8">
        <v>0</v>
      </c>
      <c r="M56" s="8">
        <v>33.39</v>
      </c>
      <c r="N56" s="8">
        <v>0</v>
      </c>
      <c r="O56" s="8">
        <v>67.599999999999994</v>
      </c>
      <c r="P56" s="8">
        <v>0</v>
      </c>
      <c r="Q56" s="8">
        <v>0</v>
      </c>
      <c r="R56" s="9">
        <f t="shared" si="1"/>
        <v>891.97</v>
      </c>
      <c r="S56" s="9">
        <f t="shared" si="3"/>
        <v>3707.9299999999994</v>
      </c>
    </row>
    <row r="57" spans="1:20" x14ac:dyDescent="0.25">
      <c r="A57" s="10" t="s">
        <v>60</v>
      </c>
      <c r="B57" s="11" t="s">
        <v>63</v>
      </c>
      <c r="C57" s="7">
        <v>6022.38</v>
      </c>
      <c r="D57" s="8">
        <f>2189.83+1320.45+45.99+31.75+1.45+15.55</f>
        <v>3605.0199999999995</v>
      </c>
      <c r="E57" s="9">
        <v>6287.85</v>
      </c>
      <c r="F57" s="8">
        <v>725</v>
      </c>
      <c r="G57" s="9">
        <v>925.05</v>
      </c>
      <c r="H57" s="8">
        <v>0</v>
      </c>
      <c r="I57" s="18">
        <f t="shared" si="0"/>
        <v>15915.25</v>
      </c>
      <c r="J57" s="8">
        <f>266.16+354.87</f>
        <v>621.03</v>
      </c>
      <c r="K57" s="8">
        <f>1981.68+1501.73</f>
        <v>3483.41</v>
      </c>
      <c r="L57" s="8">
        <v>0</v>
      </c>
      <c r="M57" s="20">
        <v>33.39</v>
      </c>
      <c r="N57" s="8">
        <v>492.73</v>
      </c>
      <c r="O57" s="8">
        <v>42.97</v>
      </c>
      <c r="P57" s="8">
        <v>403.17</v>
      </c>
      <c r="Q57" s="8">
        <v>3425.22</v>
      </c>
      <c r="R57" s="9">
        <f>J57+K57+L57+M57+N57+O57+Q57</f>
        <v>8098.75</v>
      </c>
      <c r="S57" s="19">
        <f>((I57-R57)+P57)</f>
        <v>8219.67</v>
      </c>
    </row>
    <row r="58" spans="1:20" x14ac:dyDescent="0.25">
      <c r="A58" s="10" t="s">
        <v>35</v>
      </c>
      <c r="B58" s="11" t="s">
        <v>65</v>
      </c>
      <c r="C58" s="7">
        <v>2383.35</v>
      </c>
      <c r="D58" s="8">
        <v>0</v>
      </c>
      <c r="E58" s="9">
        <v>1215.29</v>
      </c>
      <c r="F58" s="8">
        <v>698.1</v>
      </c>
      <c r="G58" s="9">
        <v>487.2</v>
      </c>
      <c r="H58" s="8">
        <v>0</v>
      </c>
      <c r="I58" s="18">
        <f t="shared" si="0"/>
        <v>3598.64</v>
      </c>
      <c r="J58" s="8">
        <v>395.85</v>
      </c>
      <c r="K58" s="8">
        <v>125.62</v>
      </c>
      <c r="L58" s="8">
        <v>0</v>
      </c>
      <c r="M58" s="8">
        <v>33.39</v>
      </c>
      <c r="N58" s="8">
        <v>143</v>
      </c>
      <c r="O58" s="8">
        <v>28</v>
      </c>
      <c r="P58" s="8">
        <v>0</v>
      </c>
      <c r="Q58" s="8">
        <v>0</v>
      </c>
      <c r="R58" s="9">
        <f t="shared" si="1"/>
        <v>725.86</v>
      </c>
      <c r="S58" s="9">
        <f t="shared" si="3"/>
        <v>2872.7799999999997</v>
      </c>
    </row>
    <row r="59" spans="1:20" x14ac:dyDescent="0.25">
      <c r="A59" s="10" t="s">
        <v>33</v>
      </c>
      <c r="B59" s="11" t="s">
        <v>69</v>
      </c>
      <c r="C59" s="7">
        <f>1430.01+47.07</f>
        <v>1477.08</v>
      </c>
      <c r="D59" s="8">
        <f>953.34+484.5+0.18+8.42+2.34</f>
        <v>1448.7800000000002</v>
      </c>
      <c r="E59" s="9">
        <v>1215.29</v>
      </c>
      <c r="F59" s="8">
        <v>698.1</v>
      </c>
      <c r="G59" s="9">
        <v>0</v>
      </c>
      <c r="H59" s="8">
        <f>22.4+4.48</f>
        <v>26.88</v>
      </c>
      <c r="I59" s="18">
        <f t="shared" si="0"/>
        <v>4168.03</v>
      </c>
      <c r="J59" s="8">
        <f>279.22+174.42</f>
        <v>453.64</v>
      </c>
      <c r="K59" s="8">
        <v>0</v>
      </c>
      <c r="L59" s="8">
        <v>0</v>
      </c>
      <c r="M59" s="8">
        <v>33.39</v>
      </c>
      <c r="N59" s="8">
        <v>0</v>
      </c>
      <c r="O59" s="8">
        <v>32.21</v>
      </c>
      <c r="P59" s="8">
        <v>0</v>
      </c>
      <c r="Q59" s="8">
        <v>1763.59</v>
      </c>
      <c r="R59" s="9">
        <f t="shared" si="1"/>
        <v>2282.83</v>
      </c>
      <c r="S59" s="9">
        <f t="shared" si="3"/>
        <v>1885.1999999999998</v>
      </c>
    </row>
    <row r="60" spans="1:20" x14ac:dyDescent="0.25">
      <c r="A60" s="10" t="s">
        <v>46</v>
      </c>
      <c r="B60" s="11" t="s">
        <v>69</v>
      </c>
      <c r="C60" s="7">
        <v>1436.79</v>
      </c>
      <c r="D60" s="8">
        <f>831.8+277.27</f>
        <v>1109.07</v>
      </c>
      <c r="E60" s="9">
        <v>842.46</v>
      </c>
      <c r="F60" s="8">
        <v>698.1</v>
      </c>
      <c r="G60" s="9">
        <v>212.8</v>
      </c>
      <c r="H60" s="8">
        <v>0</v>
      </c>
      <c r="I60" s="18">
        <f t="shared" si="0"/>
        <v>3388.3199999999997</v>
      </c>
      <c r="J60" s="8">
        <f>250.71+122</f>
        <v>372.71000000000004</v>
      </c>
      <c r="K60" s="8">
        <v>0</v>
      </c>
      <c r="L60" s="8">
        <v>0</v>
      </c>
      <c r="M60" s="8">
        <v>33.39</v>
      </c>
      <c r="N60" s="8">
        <v>136.11000000000001</v>
      </c>
      <c r="O60" s="8">
        <f>28+39.65</f>
        <v>67.650000000000006</v>
      </c>
      <c r="P60" s="8">
        <v>0</v>
      </c>
      <c r="Q60" s="8">
        <v>987.07</v>
      </c>
      <c r="R60" s="9">
        <f t="shared" si="1"/>
        <v>1596.93</v>
      </c>
      <c r="S60" s="9">
        <f t="shared" si="3"/>
        <v>1791.3899999999996</v>
      </c>
    </row>
    <row r="61" spans="1:20" x14ac:dyDescent="0.25">
      <c r="A61" s="10" t="s">
        <v>23</v>
      </c>
      <c r="B61" s="11" t="s">
        <v>99</v>
      </c>
      <c r="C61" s="7">
        <v>5467.66</v>
      </c>
      <c r="D61" s="8">
        <v>0</v>
      </c>
      <c r="E61" s="9">
        <v>1729.62</v>
      </c>
      <c r="F61" s="8">
        <v>698.1</v>
      </c>
      <c r="G61" s="9">
        <v>0</v>
      </c>
      <c r="H61" s="8">
        <v>0</v>
      </c>
      <c r="I61" s="18">
        <f t="shared" si="0"/>
        <v>7197.28</v>
      </c>
      <c r="J61" s="8">
        <v>621.03</v>
      </c>
      <c r="K61" s="8">
        <v>925.28</v>
      </c>
      <c r="L61" s="8">
        <v>50.3</v>
      </c>
      <c r="M61" s="8">
        <v>33.39</v>
      </c>
      <c r="N61" s="8">
        <v>0</v>
      </c>
      <c r="O61" s="8">
        <v>32.21</v>
      </c>
      <c r="P61" s="8">
        <v>0</v>
      </c>
      <c r="Q61" s="8">
        <v>0</v>
      </c>
      <c r="R61" s="9">
        <f t="shared" si="1"/>
        <v>1662.21</v>
      </c>
      <c r="S61" s="9">
        <f t="shared" si="3"/>
        <v>5535.07</v>
      </c>
    </row>
    <row r="62" spans="1:20" x14ac:dyDescent="0.25">
      <c r="A62" s="32" t="s">
        <v>91</v>
      </c>
      <c r="B62" s="32"/>
      <c r="C62" s="28">
        <f>SUM(C6:C61)</f>
        <v>267208.45</v>
      </c>
      <c r="D62" s="29">
        <f>SUM(D6:D61)</f>
        <v>30491.65</v>
      </c>
      <c r="E62" s="29">
        <f>SUM(E6:E61)</f>
        <v>37689.610000000008</v>
      </c>
      <c r="F62" s="28">
        <f t="shared" ref="F62:S62" si="7">SUM(F6:F61)</f>
        <v>36389.989999999976</v>
      </c>
      <c r="G62" s="29">
        <f t="shared" si="7"/>
        <v>5504.8499999999995</v>
      </c>
      <c r="H62" s="29">
        <f t="shared" si="7"/>
        <v>8090.23</v>
      </c>
      <c r="I62" s="28">
        <f t="shared" si="7"/>
        <v>343479.94000000012</v>
      </c>
      <c r="J62" s="29">
        <f t="shared" si="7"/>
        <v>26228.739999999987</v>
      </c>
      <c r="K62" s="29">
        <f t="shared" si="7"/>
        <v>38861.71</v>
      </c>
      <c r="L62" s="28">
        <f t="shared" si="7"/>
        <v>538.15</v>
      </c>
      <c r="M62" s="29">
        <f t="shared" si="7"/>
        <v>1744.2300000000016</v>
      </c>
      <c r="N62" s="29">
        <f t="shared" si="7"/>
        <v>2996.3000000000006</v>
      </c>
      <c r="O62" s="28">
        <f t="shared" si="7"/>
        <v>3396.8899999999994</v>
      </c>
      <c r="P62" s="29">
        <f t="shared" si="7"/>
        <v>1612.68</v>
      </c>
      <c r="Q62" s="29">
        <f t="shared" si="7"/>
        <v>31508.589999999997</v>
      </c>
      <c r="R62" s="28">
        <f t="shared" si="7"/>
        <v>106146.79999999999</v>
      </c>
      <c r="S62" s="29">
        <f t="shared" si="7"/>
        <v>238945.82000000009</v>
      </c>
    </row>
  </sheetData>
  <mergeCells count="3">
    <mergeCell ref="A3:S3"/>
    <mergeCell ref="A4:S4"/>
    <mergeCell ref="A62:B62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2018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Cristina Espíndola Romor Vargas</cp:lastModifiedBy>
  <cp:lastPrinted>2018-08-31T19:31:09Z</cp:lastPrinted>
  <dcterms:created xsi:type="dcterms:W3CDTF">2015-04-01T12:17:47Z</dcterms:created>
  <dcterms:modified xsi:type="dcterms:W3CDTF">2018-08-31T19:32:28Z</dcterms:modified>
</cp:coreProperties>
</file>